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R:\Documentatie\Koof rekenschema\"/>
    </mc:Choice>
  </mc:AlternateContent>
  <xr:revisionPtr revIDLastSave="0" documentId="13_ncr:1_{F8994B2A-C48B-4E49-9603-6276B42ECAA7}" xr6:coauthVersionLast="47" xr6:coauthVersionMax="47" xr10:uidLastSave="{00000000-0000-0000-0000-000000000000}"/>
  <bookViews>
    <workbookView xWindow="28680" yWindow="-120" windowWidth="29040" windowHeight="15720" xr2:uid="{7213FD14-D767-4C45-9148-2EB8BF351C4F}"/>
  </bookViews>
  <sheets>
    <sheet name="Forest Pelmet" sheetId="1" r:id="rId1"/>
  </sheets>
  <definedNames>
    <definedName name="Afbeelding">IF('Forest Pelmet'!$H$115=1,'Forest Pelmet'!$A$3,OFFSET('Forest Pelmet'!$BV$276,'Forest Pelmet'!$V$112+'Forest Pelmet'!$V$113,'Forest Pelmet'!$V$111))</definedName>
    <definedName name="afbeelding2">IF('Forest Pelmet'!$H$115=1,'Forest Pelmet'!$A$3,IF('Forest Pelmet'!$I$115=1,'Forest Pelmet'!$BV$289,IF( OR('Forest Pelmet'!$J$20=TRUE,'Forest Pelmet'!$J$22=TRUE),'Forest Pelmet'!$BV$289,'Forest Pelmet'!$A$3)))</definedName>
    <definedName name="_xlnm.Print_Area" localSheetId="0">'Forest Pelmet'!$A$1:$BK$60</definedName>
    <definedName name="RadiusRail1">IF('Forest Pelmet'!$A$2="",'Forest Pelmet'!$A$3,IF('Forest Pelmet'!$J$145=0,'Forest Pelmet'!$A$3,IF('Forest Pelmet'!$J$116=1,'Forest Pelmet'!$A$3,IF('Forest Pelmet'!$O$73=0,'Forest Pelmet'!$A$3,IF('Forest Pelmet'!$AM$126=1,'Forest Pelmet'!$AE$127:$AE$129,OFFSET('Forest Pelmet'!$AE$129,0-SUM('Forest Pelmet'!$P$73:$R$73)+1,0):'Forest Pelmet'!$AE$129)))))</definedName>
    <definedName name="RadiusRail2">IF('Forest Pelmet'!$A$2="",'Forest Pelmet'!$A$3,IF('Forest Pelmet'!$J$159=0,'Forest Pelmet'!$A$3,IF('Forest Pelmet'!$J$116=1,'Forest Pelmet'!$A$3,IF('Forest Pelmet'!$O$74=0,'Forest Pelmet'!$A$3,IF('Forest Pelmet'!$AM$126=1,'Forest Pelmet'!$AE$130:$AE$132,OFFSET('Forest Pelmet'!$AE$132,0-SUM('Forest Pelmet'!$P$74:$R$74)+1,0):'Forest Pelmet'!$AE$132)))))</definedName>
    <definedName name="RadiusRail3">IF('Forest Pelmet'!$A$2="",'Forest Pelmet'!$A$3,IF('Forest Pelmet'!$J$173=0,'Forest Pelmet'!$A$3,IF('Forest Pelmet'!$J$116=1,'Forest Pelmet'!$A$3,IF('Forest Pelmet'!$O$75=0,'Forest Pelmet'!$A$3,IF('Forest Pelmet'!$AM$126=1,'Forest Pelmet'!$AE$133:$AE$135,OFFSET('Forest Pelmet'!$AE$135,0-SUM('Forest Pelmet'!$P$75:$R$75)+1,0):'Forest Pelmet'!$AE$135)))))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1" l="1"/>
  <c r="G94" i="1"/>
  <c r="G95" i="1" s="1"/>
  <c r="G96" i="1" s="1"/>
  <c r="X103" i="1"/>
  <c r="O86" i="1"/>
  <c r="O87" i="1"/>
  <c r="O88" i="1"/>
  <c r="O89" i="1"/>
  <c r="O90" i="1"/>
  <c r="O91" i="1"/>
  <c r="O92" i="1"/>
  <c r="H146" i="1" l="1"/>
  <c r="BK166" i="1"/>
  <c r="BK167" i="1"/>
  <c r="BK168" i="1"/>
  <c r="BK169" i="1"/>
  <c r="BK170" i="1"/>
  <c r="BK171" i="1"/>
  <c r="BK172" i="1"/>
  <c r="BK173" i="1"/>
  <c r="BK174" i="1"/>
  <c r="BK175" i="1"/>
  <c r="BK176" i="1"/>
  <c r="BK158" i="1" l="1"/>
  <c r="BK159" i="1"/>
  <c r="BK160" i="1"/>
  <c r="BK161" i="1"/>
  <c r="BK162" i="1"/>
  <c r="BK163" i="1"/>
  <c r="BK164" i="1"/>
  <c r="BK165" i="1"/>
  <c r="H132" i="1"/>
  <c r="H149" i="1"/>
  <c r="H135" i="1"/>
  <c r="H134" i="1"/>
  <c r="H133" i="1"/>
  <c r="H127" i="1"/>
  <c r="H125" i="1"/>
  <c r="O78" i="1"/>
  <c r="O79" i="1"/>
  <c r="O94" i="1"/>
  <c r="O95" i="1"/>
  <c r="O80" i="1"/>
  <c r="O96" i="1"/>
  <c r="O81" i="1"/>
  <c r="O82" i="1"/>
  <c r="O83" i="1"/>
  <c r="O84" i="1"/>
  <c r="O85" i="1"/>
  <c r="O77" i="1"/>
  <c r="X105" i="1"/>
  <c r="Y105" i="1"/>
  <c r="Z105" i="1"/>
  <c r="Z104" i="1"/>
  <c r="Y104" i="1"/>
  <c r="X104" i="1"/>
  <c r="Z103" i="1"/>
  <c r="Y103" i="1"/>
  <c r="K18" i="1" l="1"/>
  <c r="Z102" i="1"/>
  <c r="Y102" i="1"/>
  <c r="X102" i="1"/>
  <c r="BP78" i="1" l="1"/>
  <c r="BS78" i="1"/>
  <c r="BR78" i="1"/>
  <c r="BQ78" i="1"/>
  <c r="E1" i="1"/>
  <c r="BK177" i="1"/>
  <c r="BK157" i="1"/>
  <c r="BK156" i="1"/>
  <c r="BK155" i="1"/>
  <c r="BK154" i="1"/>
  <c r="BK153" i="1"/>
  <c r="BK152" i="1"/>
  <c r="BK151" i="1"/>
  <c r="BK150" i="1"/>
  <c r="BK149" i="1"/>
  <c r="BK148" i="1"/>
  <c r="BK147" i="1"/>
  <c r="BK146" i="1"/>
  <c r="BK145" i="1"/>
  <c r="BK144" i="1"/>
  <c r="BK143" i="1"/>
  <c r="BK142" i="1"/>
  <c r="BK141" i="1"/>
  <c r="BK140" i="1"/>
  <c r="BK139" i="1"/>
  <c r="BK138" i="1"/>
  <c r="BK137" i="1"/>
  <c r="BK136" i="1"/>
  <c r="BK135" i="1"/>
  <c r="BK134" i="1"/>
  <c r="BK133" i="1"/>
  <c r="BK132" i="1"/>
  <c r="BK131" i="1"/>
  <c r="BK130" i="1"/>
  <c r="BK129" i="1"/>
  <c r="BK128" i="1"/>
  <c r="BK127" i="1"/>
  <c r="BK126" i="1"/>
  <c r="BK125" i="1"/>
  <c r="BK124" i="1"/>
  <c r="BK123" i="1"/>
  <c r="BK122" i="1"/>
  <c r="BK121" i="1"/>
  <c r="BK120" i="1"/>
  <c r="BK119" i="1"/>
  <c r="BK118" i="1"/>
  <c r="BK117" i="1"/>
  <c r="BK116" i="1"/>
  <c r="BK115" i="1"/>
  <c r="BK114" i="1"/>
  <c r="BK113" i="1"/>
  <c r="BK112" i="1"/>
  <c r="BK111" i="1"/>
  <c r="BK110" i="1"/>
  <c r="BK109" i="1"/>
  <c r="BK108" i="1"/>
  <c r="BK107" i="1"/>
  <c r="BK106" i="1"/>
  <c r="BK105" i="1"/>
  <c r="BK104" i="1"/>
  <c r="BK103" i="1"/>
  <c r="BK102" i="1"/>
  <c r="BK101" i="1"/>
  <c r="BK100" i="1"/>
  <c r="BK99" i="1"/>
  <c r="BK98" i="1"/>
  <c r="BK97" i="1"/>
  <c r="BK96" i="1"/>
  <c r="BK95" i="1"/>
  <c r="BK94" i="1"/>
  <c r="BK93" i="1"/>
  <c r="BK92" i="1"/>
  <c r="BK91" i="1"/>
  <c r="BK90" i="1"/>
  <c r="BK89" i="1"/>
  <c r="BK88" i="1"/>
  <c r="BK87" i="1"/>
  <c r="BK86" i="1"/>
  <c r="BK85" i="1"/>
  <c r="BK84" i="1"/>
  <c r="BK83" i="1"/>
  <c r="BK82" i="1"/>
  <c r="BK81" i="1"/>
  <c r="BK80" i="1"/>
  <c r="BK79" i="1"/>
  <c r="G78" i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M18" i="1"/>
  <c r="BO78" i="1" l="1"/>
  <c r="BO79" i="1" s="1" a="1"/>
  <c r="Y108" i="1" l="1"/>
  <c r="V113" i="1"/>
  <c r="J159" i="1"/>
  <c r="V111" i="1"/>
  <c r="V112" i="1" s="1"/>
  <c r="A77" i="1"/>
  <c r="A90" i="1"/>
  <c r="A85" i="1"/>
  <c r="A58" i="1"/>
  <c r="J147" i="1"/>
  <c r="A89" i="1"/>
  <c r="J117" i="1"/>
  <c r="B25" i="1"/>
  <c r="A25" i="1" s="1"/>
  <c r="B18" i="1"/>
  <c r="A18" i="1" s="1"/>
  <c r="A79" i="1"/>
  <c r="J162" i="1"/>
  <c r="J131" i="1"/>
  <c r="A91" i="1"/>
  <c r="J175" i="1"/>
  <c r="Y107" i="1"/>
  <c r="A88" i="1"/>
  <c r="A86" i="1"/>
  <c r="A84" i="1"/>
  <c r="J151" i="1"/>
  <c r="H151" i="1" s="1"/>
  <c r="A87" i="1"/>
  <c r="A83" i="1"/>
  <c r="J161" i="1"/>
  <c r="J173" i="1"/>
  <c r="AI78" i="1"/>
  <c r="AI80" i="1" s="1"/>
  <c r="J165" i="1"/>
  <c r="J148" i="1"/>
  <c r="H148" i="1" s="1"/>
  <c r="AM79" i="1"/>
  <c r="AM80" i="1" s="1"/>
  <c r="J118" i="1"/>
  <c r="J116" i="1"/>
  <c r="B30" i="1"/>
  <c r="B27" i="1"/>
  <c r="B19" i="1"/>
  <c r="B15" i="1"/>
  <c r="B12" i="1"/>
  <c r="A1" i="1"/>
  <c r="A78" i="1"/>
  <c r="A81" i="1"/>
  <c r="A80" i="1"/>
  <c r="A59" i="1"/>
  <c r="J128" i="1"/>
  <c r="H128" i="1" s="1"/>
  <c r="J119" i="1"/>
  <c r="A92" i="1"/>
  <c r="J178" i="1"/>
  <c r="J176" i="1"/>
  <c r="J126" i="1"/>
  <c r="H126" i="1" s="1"/>
  <c r="B29" i="1"/>
  <c r="B14" i="1"/>
  <c r="A82" i="1"/>
  <c r="J130" i="1"/>
  <c r="H152" i="1" l="1"/>
  <c r="B16" i="1"/>
  <c r="H79" i="1"/>
  <c r="I79" i="1"/>
  <c r="J79" i="1"/>
  <c r="H131" i="1"/>
  <c r="B32" i="1"/>
  <c r="H130" i="1"/>
  <c r="H129" i="1"/>
  <c r="B31" i="1"/>
  <c r="A31" i="1" s="1"/>
  <c r="H142" i="1"/>
  <c r="H141" i="1"/>
  <c r="B22" i="1"/>
  <c r="H143" i="1"/>
  <c r="H140" i="1"/>
  <c r="H170" i="1"/>
  <c r="B40" i="1"/>
  <c r="B41" i="1"/>
  <c r="H162" i="1"/>
  <c r="B36" i="1"/>
  <c r="A36" i="1" s="1"/>
  <c r="AM97" i="1"/>
  <c r="B42" i="1"/>
  <c r="A42" i="1" s="1"/>
  <c r="H163" i="1"/>
  <c r="B43" i="1"/>
  <c r="B38" i="1"/>
  <c r="B44" i="1"/>
  <c r="A44" i="1" s="1"/>
  <c r="H165" i="1"/>
  <c r="H161" i="1"/>
  <c r="H166" i="1"/>
  <c r="B45" i="1"/>
  <c r="H168" i="1"/>
  <c r="H169" i="1"/>
  <c r="H171" i="1"/>
  <c r="AM96" i="1"/>
  <c r="H160" i="1"/>
  <c r="H77" i="1"/>
  <c r="J77" i="1"/>
  <c r="I77" i="1"/>
  <c r="I90" i="1"/>
  <c r="J90" i="1"/>
  <c r="H85" i="1"/>
  <c r="J85" i="1"/>
  <c r="I85" i="1"/>
  <c r="H89" i="1"/>
  <c r="J89" i="1"/>
  <c r="I89" i="1"/>
  <c r="H157" i="1"/>
  <c r="B34" i="1"/>
  <c r="H156" i="1"/>
  <c r="H154" i="1"/>
  <c r="H155" i="1"/>
  <c r="B33" i="1"/>
  <c r="A33" i="1" s="1"/>
  <c r="H91" i="1"/>
  <c r="I91" i="1"/>
  <c r="J91" i="1"/>
  <c r="B20" i="1"/>
  <c r="H136" i="1"/>
  <c r="H138" i="1"/>
  <c r="H137" i="1"/>
  <c r="AS104" i="1"/>
  <c r="H139" i="1"/>
  <c r="J88" i="1"/>
  <c r="I88" i="1"/>
  <c r="H88" i="1"/>
  <c r="J86" i="1"/>
  <c r="H86" i="1"/>
  <c r="I86" i="1"/>
  <c r="J84" i="1"/>
  <c r="H84" i="1"/>
  <c r="I84" i="1"/>
  <c r="H87" i="1"/>
  <c r="J87" i="1"/>
  <c r="I87" i="1"/>
  <c r="I83" i="1"/>
  <c r="H83" i="1"/>
  <c r="J83" i="1"/>
  <c r="B53" i="1"/>
  <c r="A53" i="1" s="1"/>
  <c r="B51" i="1"/>
  <c r="B55" i="1"/>
  <c r="A55" i="1" s="1"/>
  <c r="B47" i="1"/>
  <c r="A47" i="1" s="1"/>
  <c r="B52" i="1"/>
  <c r="B49" i="1"/>
  <c r="H177" i="1"/>
  <c r="H176" i="1"/>
  <c r="H182" i="1"/>
  <c r="H178" i="1"/>
  <c r="H175" i="1"/>
  <c r="H185" i="1"/>
  <c r="H183" i="1"/>
  <c r="H174" i="1"/>
  <c r="H180" i="1"/>
  <c r="H184" i="1"/>
  <c r="B54" i="1"/>
  <c r="B56" i="1"/>
  <c r="AX127" i="1" a="1"/>
  <c r="H147" i="1"/>
  <c r="I94" i="1"/>
  <c r="J94" i="1"/>
  <c r="I96" i="1"/>
  <c r="H96" i="1"/>
  <c r="J96" i="1"/>
  <c r="I78" i="1"/>
  <c r="H78" i="1"/>
  <c r="J78" i="1"/>
  <c r="J81" i="1"/>
  <c r="H81" i="1"/>
  <c r="I81" i="1"/>
  <c r="I80" i="1"/>
  <c r="H80" i="1"/>
  <c r="J80" i="1"/>
  <c r="M14" i="1"/>
  <c r="K14" i="1"/>
  <c r="J92" i="1"/>
  <c r="I92" i="1"/>
  <c r="M12" i="1"/>
  <c r="K12" i="1"/>
  <c r="J95" i="1"/>
  <c r="H95" i="1"/>
  <c r="I95" i="1"/>
  <c r="I82" i="1"/>
  <c r="H82" i="1"/>
  <c r="J82" i="1"/>
  <c r="H92" i="1"/>
  <c r="H90" i="1"/>
  <c r="G73" i="1" l="1"/>
  <c r="K73" i="1" s="1" a="1"/>
  <c r="K55" i="1"/>
  <c r="M55" i="1"/>
  <c r="M27" i="1"/>
  <c r="K27" i="1"/>
  <c r="M49" i="1"/>
  <c r="K49" i="1"/>
  <c r="M40" i="1"/>
  <c r="G74" i="1"/>
  <c r="K74" i="1" s="1" a="1"/>
  <c r="G75" i="1"/>
  <c r="K75" i="1" s="1" a="1"/>
  <c r="AX126" i="1"/>
  <c r="AQ126" i="1" s="1" a="1"/>
  <c r="K16" i="1"/>
  <c r="M16" i="1"/>
  <c r="K33" i="1"/>
  <c r="M33" i="1"/>
  <c r="M51" i="1"/>
  <c r="K51" i="1"/>
  <c r="B23" i="1"/>
  <c r="A22" i="1"/>
  <c r="K22" i="1"/>
  <c r="M22" i="1"/>
  <c r="M38" i="1"/>
  <c r="K38" i="1"/>
  <c r="M44" i="1"/>
  <c r="K44" i="1"/>
  <c r="B21" i="1"/>
  <c r="A20" i="1"/>
  <c r="K20" i="1"/>
  <c r="M20" i="1"/>
  <c r="AK96" i="1"/>
  <c r="AI96" i="1"/>
  <c r="AK97" i="1"/>
  <c r="AI97" i="1"/>
  <c r="AM87" i="1" l="1"/>
  <c r="AI86" i="1"/>
  <c r="AI87" i="1"/>
  <c r="AM86" i="1"/>
  <c r="J164" i="1"/>
  <c r="AK86" i="1"/>
  <c r="AK87" i="1"/>
  <c r="J150" i="1"/>
  <c r="AM107" i="1"/>
  <c r="AM106" i="1"/>
  <c r="AM92" i="1"/>
  <c r="AM93" i="1" s="1"/>
  <c r="AM94" i="1" s="1"/>
  <c r="AM95" i="1" s="1"/>
  <c r="AM99" i="1" s="1"/>
  <c r="AC130" i="1"/>
  <c r="AC132" i="1"/>
  <c r="AC131" i="1"/>
  <c r="AI92" i="1"/>
  <c r="AI93" i="1" s="1"/>
  <c r="AI94" i="1" s="1"/>
  <c r="AI95" i="1" s="1"/>
  <c r="I121" i="1"/>
  <c r="AI82" i="1"/>
  <c r="AI83" i="1" s="1"/>
  <c r="AI84" i="1" s="1"/>
  <c r="AI85" i="1" s="1"/>
  <c r="AM82" i="1"/>
  <c r="AM83" i="1" s="1"/>
  <c r="AM84" i="1" s="1"/>
  <c r="AM85" i="1" s="1"/>
  <c r="AC133" i="1"/>
  <c r="AC134" i="1"/>
  <c r="AC135" i="1"/>
  <c r="AI106" i="1"/>
  <c r="AI107" i="1"/>
  <c r="AC129" i="1"/>
  <c r="AC127" i="1"/>
  <c r="AI102" i="1"/>
  <c r="AI103" i="1" s="1"/>
  <c r="AI104" i="1" s="1"/>
  <c r="AC128" i="1"/>
  <c r="AK106" i="1"/>
  <c r="AK107" i="1"/>
  <c r="AM102" i="1"/>
  <c r="AM103" i="1" s="1"/>
  <c r="AM104" i="1" s="1"/>
  <c r="AM89" i="1" l="1"/>
  <c r="AM108" i="1"/>
  <c r="AM105" i="1"/>
  <c r="H164" i="1"/>
  <c r="K40" i="1" s="1"/>
  <c r="AI89" i="1"/>
  <c r="AK85" i="1"/>
  <c r="AK89" i="1" s="1"/>
  <c r="AI133" i="1" a="1"/>
  <c r="AI130" i="1" a="1"/>
  <c r="AI99" i="1"/>
  <c r="AK95" i="1"/>
  <c r="AK99" i="1" s="1"/>
  <c r="AI105" i="1"/>
  <c r="AI108" i="1"/>
  <c r="AI127" i="1" a="1"/>
  <c r="AM126" i="1" s="1"/>
  <c r="H150" i="1"/>
  <c r="AM109" i="1" l="1"/>
  <c r="AM110" i="1" s="1"/>
  <c r="AK105" i="1"/>
  <c r="AI109" i="1"/>
  <c r="AI110" i="1" s="1"/>
  <c r="AE130" i="1" a="1"/>
  <c r="J167" i="1" s="1"/>
  <c r="H167" i="1" s="1"/>
  <c r="AK108" i="1"/>
  <c r="K29" i="1"/>
  <c r="M29" i="1"/>
  <c r="A60" i="1"/>
  <c r="AE127" i="1" a="1"/>
  <c r="J153" i="1" s="1"/>
  <c r="H153" i="1" s="1"/>
  <c r="AE133" i="1" a="1"/>
  <c r="J181" i="1" s="1"/>
  <c r="H181" i="1" s="1"/>
  <c r="I122" i="1"/>
  <c r="I115" i="1" s="1"/>
  <c r="AK109" i="1" l="1"/>
  <c r="AK110" i="1" s="1"/>
  <c r="H115" i="1"/>
  <c r="M31" i="1"/>
  <c r="K31" i="1"/>
  <c r="M42" i="1"/>
  <c r="K42" i="1"/>
  <c r="K53" i="1"/>
  <c r="M53" i="1"/>
  <c r="AP34" i="1" l="1"/>
  <c r="AV34" i="1"/>
  <c r="AX34" i="1" s="1"/>
  <c r="AD34" i="1"/>
  <c r="AF34" i="1" s="1"/>
  <c r="AJ34" i="1"/>
  <c r="X52" i="1"/>
  <c r="AS34" i="1"/>
  <c r="X37" i="1"/>
  <c r="X40" i="1"/>
  <c r="W40" i="1" s="1"/>
  <c r="X44" i="1"/>
  <c r="X39" i="1"/>
  <c r="X54" i="1"/>
  <c r="X45" i="1"/>
  <c r="AW106" i="1"/>
  <c r="AV106" i="1"/>
  <c r="AW105" i="1"/>
  <c r="AU105" i="1"/>
  <c r="AV105" i="1"/>
  <c r="AU106" i="1"/>
  <c r="AW104" i="1"/>
  <c r="AU104" i="1"/>
  <c r="AI30" i="1"/>
  <c r="AG34" i="1"/>
  <c r="AI34" i="1" s="1"/>
  <c r="AV104" i="1"/>
  <c r="W31" i="1"/>
  <c r="AO31" i="1"/>
  <c r="X47" i="1"/>
  <c r="AO39" i="1"/>
  <c r="AO44" i="1"/>
  <c r="AO49" i="1"/>
  <c r="AO54" i="1"/>
  <c r="X49" i="1"/>
  <c r="X50" i="1"/>
  <c r="X42" i="1"/>
  <c r="AR34" i="1" l="1"/>
  <c r="AU34" i="1"/>
  <c r="AP52" i="1"/>
  <c r="AD50" i="1"/>
  <c r="AD52" i="1"/>
  <c r="AD37" i="1"/>
  <c r="AG37" i="1"/>
  <c r="AJ44" i="1"/>
  <c r="AD40" i="1"/>
  <c r="AS44" i="1"/>
  <c r="AJ47" i="1"/>
  <c r="W52" i="1"/>
  <c r="AV52" i="1"/>
  <c r="AJ52" i="1"/>
  <c r="W37" i="1"/>
  <c r="AV37" i="1"/>
  <c r="AJ37" i="1"/>
  <c r="W39" i="1"/>
  <c r="AJ39" i="1"/>
  <c r="W54" i="1"/>
  <c r="AV54" i="1"/>
  <c r="AJ54" i="1"/>
  <c r="BD111" i="1"/>
  <c r="AX52" i="1"/>
  <c r="AX53" i="1"/>
  <c r="AL53" i="1"/>
  <c r="AV47" i="1"/>
  <c r="W47" i="1"/>
  <c r="AG49" i="1"/>
  <c r="W49" i="1"/>
  <c r="AJ49" i="1"/>
  <c r="W42" i="1"/>
  <c r="AV42" i="1"/>
  <c r="AJ42" i="1"/>
  <c r="AL34" i="1"/>
  <c r="AJ40" i="1"/>
  <c r="W44" i="1"/>
  <c r="AD39" i="1"/>
  <c r="W45" i="1"/>
  <c r="AJ45" i="1"/>
  <c r="AD45" i="1"/>
  <c r="AL52" i="1"/>
  <c r="AX54" i="1"/>
  <c r="AL54" i="1"/>
  <c r="AL50" i="1"/>
  <c r="BB113" i="1"/>
  <c r="BB110" i="1"/>
  <c r="AX49" i="1"/>
  <c r="AX47" i="1"/>
  <c r="W50" i="1"/>
  <c r="AJ50" i="1"/>
  <c r="BB109" i="1"/>
  <c r="AI53" i="1"/>
  <c r="AI52" i="1"/>
  <c r="AU54" i="1"/>
  <c r="AI54" i="1"/>
  <c r="AI50" i="1"/>
  <c r="BD110" i="1"/>
  <c r="BB112" i="1"/>
  <c r="AU53" i="1"/>
  <c r="AU52" i="1"/>
  <c r="AX48" i="1"/>
  <c r="AL49" i="1"/>
  <c r="AL48" i="1"/>
  <c r="AV49" i="1"/>
  <c r="AL47" i="1"/>
  <c r="AL45" i="1"/>
  <c r="BB103" i="1"/>
  <c r="BD108" i="1"/>
  <c r="BB106" i="1"/>
  <c r="AF45" i="1"/>
  <c r="AF48" i="1"/>
  <c r="AF49" i="1"/>
  <c r="BD106" i="1"/>
  <c r="AR47" i="1"/>
  <c r="AR49" i="1"/>
  <c r="AZ111" i="1"/>
  <c r="AR48" i="1"/>
  <c r="AF47" i="1"/>
  <c r="AU47" i="1"/>
  <c r="AS49" i="1"/>
  <c r="AZ113" i="1"/>
  <c r="AU49" i="1"/>
  <c r="AU48" i="1"/>
  <c r="AI49" i="1"/>
  <c r="AI48" i="1"/>
  <c r="AI47" i="1"/>
  <c r="AI45" i="1"/>
  <c r="BB105" i="1"/>
  <c r="BD107" i="1"/>
  <c r="AZ112" i="1"/>
  <c r="BB111" i="1"/>
  <c r="AR53" i="1"/>
  <c r="AP49" i="1"/>
  <c r="AF53" i="1"/>
  <c r="AF50" i="1"/>
  <c r="AF54" i="1"/>
  <c r="BB107" i="1"/>
  <c r="BD109" i="1"/>
  <c r="BB108" i="1"/>
  <c r="AR52" i="1"/>
  <c r="AF52" i="1"/>
  <c r="AR54" i="1"/>
  <c r="BB104" i="1"/>
  <c r="AP54" i="1"/>
  <c r="AD49" i="1"/>
  <c r="AD54" i="1"/>
  <c r="AD42" i="1"/>
  <c r="AP37" i="1"/>
  <c r="AD44" i="1"/>
  <c r="AP42" i="1"/>
  <c r="AD47" i="1"/>
  <c r="AP47" i="1"/>
  <c r="AL39" i="1"/>
  <c r="AU42" i="1"/>
  <c r="AX44" i="1"/>
  <c r="AX37" i="1"/>
  <c r="AV44" i="1"/>
  <c r="AZ104" i="1"/>
  <c r="AZ110" i="1"/>
  <c r="AI44" i="1"/>
  <c r="AI39" i="1"/>
  <c r="AZ106" i="1"/>
  <c r="BD105" i="1"/>
  <c r="AL44" i="1"/>
  <c r="AL37" i="1"/>
  <c r="AZ107" i="1"/>
  <c r="AL40" i="1"/>
  <c r="AX43" i="1"/>
  <c r="AX42" i="1"/>
  <c r="AL42" i="1"/>
  <c r="AL43" i="1"/>
  <c r="AU44" i="1"/>
  <c r="AI43" i="1"/>
  <c r="AF39" i="1"/>
  <c r="AF43" i="1"/>
  <c r="AR37" i="1"/>
  <c r="AZ105" i="1"/>
  <c r="AF42" i="1"/>
  <c r="AR42" i="1"/>
  <c r="BD103" i="1"/>
  <c r="AR43" i="1"/>
  <c r="AF37" i="1"/>
  <c r="AR44" i="1"/>
  <c r="AZ108" i="1"/>
  <c r="AP44" i="1"/>
  <c r="AF40" i="1"/>
  <c r="AF44" i="1"/>
  <c r="AG40" i="1"/>
  <c r="AS54" i="1"/>
  <c r="AG47" i="1"/>
  <c r="AG42" i="1"/>
  <c r="AS47" i="1"/>
  <c r="AG44" i="1"/>
  <c r="AG50" i="1"/>
  <c r="AG54" i="1"/>
  <c r="AS52" i="1"/>
  <c r="AG52" i="1"/>
  <c r="AS42" i="1"/>
  <c r="AS37" i="1"/>
  <c r="AG39" i="1"/>
  <c r="AG45" i="1"/>
  <c r="AZ103" i="1"/>
  <c r="AU37" i="1"/>
  <c r="AU43" i="1"/>
  <c r="AI37" i="1"/>
  <c r="BD104" i="1"/>
  <c r="AI42" i="1"/>
  <c r="AZ109" i="1"/>
  <c r="AI40" i="1"/>
  <c r="AV53" i="1" l="1"/>
  <c r="AV51" i="1"/>
  <c r="AV36" i="1"/>
  <c r="AV38" i="1"/>
  <c r="AV48" i="1"/>
  <c r="AV46" i="1"/>
  <c r="AV41" i="1"/>
  <c r="AV43" i="1"/>
  <c r="AP38" i="1"/>
  <c r="AP36" i="1"/>
  <c r="AP41" i="1"/>
  <c r="AP43" i="1"/>
  <c r="AP53" i="1"/>
  <c r="AP51" i="1"/>
  <c r="AP48" i="1"/>
  <c r="AP46" i="1"/>
  <c r="AS48" i="1"/>
  <c r="AS46" i="1"/>
  <c r="AS53" i="1"/>
  <c r="AS51" i="1"/>
  <c r="AS41" i="1"/>
  <c r="AS43" i="1"/>
  <c r="AS36" i="1"/>
  <c r="AS3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<sst xmlns="http://schemas.openxmlformats.org/spreadsheetml/2006/main" count="441" uniqueCount="269">
  <si>
    <t>R</t>
  </si>
  <si>
    <t>C</t>
  </si>
  <si>
    <t>D</t>
  </si>
  <si>
    <t>E</t>
  </si>
  <si>
    <t>F</t>
  </si>
  <si>
    <t>G</t>
  </si>
  <si>
    <t>J</t>
  </si>
  <si>
    <t>graden</t>
  </si>
  <si>
    <t>Radius bocht</t>
  </si>
  <si>
    <t>FMS (Shuttle)</t>
  </si>
  <si>
    <t xml:space="preserve">in cm          = </t>
  </si>
  <si>
    <t>KS</t>
  </si>
  <si>
    <t>Plooi gordijn &lt;&gt;</t>
  </si>
  <si>
    <t xml:space="preserve">Wave gordijn   = </t>
  </si>
  <si>
    <t>Wave gordijn</t>
  </si>
  <si>
    <t>Plooi gordijn</t>
  </si>
  <si>
    <t>10 cm</t>
  </si>
  <si>
    <t>15 cm</t>
  </si>
  <si>
    <t>20 cm</t>
  </si>
  <si>
    <t>Nederlands</t>
  </si>
  <si>
    <t>Language:</t>
  </si>
  <si>
    <t>English</t>
  </si>
  <si>
    <t>Mag niet leeg zijn</t>
  </si>
  <si>
    <t>cm</t>
  </si>
  <si>
    <t>ALLE MATEN IN CM</t>
  </si>
  <si>
    <t>Naam rail</t>
  </si>
  <si>
    <t>Rail nummer geselecteerd</t>
  </si>
  <si>
    <t>CS</t>
  </si>
  <si>
    <t>CKS</t>
  </si>
  <si>
    <t>CCS</t>
  </si>
  <si>
    <t xml:space="preserve">FMS plus </t>
  </si>
  <si>
    <t>DS</t>
  </si>
  <si>
    <t>CRS gekoord</t>
  </si>
  <si>
    <t>MRS</t>
  </si>
  <si>
    <t>MRS universeel</t>
  </si>
  <si>
    <t>Pulldownmenu</t>
  </si>
  <si>
    <t>Gesorteerde Lijst</t>
  </si>
  <si>
    <t>Lijst niet gebruiken</t>
  </si>
  <si>
    <t>Choosen language</t>
  </si>
  <si>
    <t>No Language selected</t>
  </si>
  <si>
    <t>Language name</t>
  </si>
  <si>
    <t>Duits</t>
  </si>
  <si>
    <t>Frans</t>
  </si>
  <si>
    <t>-</t>
  </si>
  <si>
    <t xml:space="preserve">in cm           = </t>
  </si>
  <si>
    <t>Notifications</t>
  </si>
  <si>
    <t>Can't be empty</t>
  </si>
  <si>
    <t>Value is too high</t>
  </si>
  <si>
    <t>Waarde te hoog</t>
  </si>
  <si>
    <t>Value is too low</t>
  </si>
  <si>
    <t>Waarde te laag</t>
  </si>
  <si>
    <t>Can't be text</t>
  </si>
  <si>
    <t>Mag geen tekst zijn</t>
  </si>
  <si>
    <t>Option not possible</t>
  </si>
  <si>
    <t>Optie niet mogelijk</t>
  </si>
  <si>
    <t>Does not exist</t>
  </si>
  <si>
    <t>Bestaat niet</t>
  </si>
  <si>
    <t>Wrong language</t>
  </si>
  <si>
    <t>Verkeerde taal</t>
  </si>
  <si>
    <t>Description Right</t>
  </si>
  <si>
    <t>Pull-down menu</t>
  </si>
  <si>
    <t>Taal:</t>
  </si>
  <si>
    <t>References</t>
  </si>
  <si>
    <t>- No rights can be derived from this calculation tool.</t>
  </si>
  <si>
    <t>- Aan dit rekenschema kunnen geen rechten worden ontleend.</t>
  </si>
  <si>
    <t>! The user interface is not working optimally; please use Microsoft Excel 2021 or later.</t>
  </si>
  <si>
    <t>! De gebruikersinterface werkt niet optimaal; gebruik Microsoft Excel 2021 of later.</t>
  </si>
  <si>
    <t>Inches</t>
  </si>
  <si>
    <t>Values ​​are added together</t>
  </si>
  <si>
    <t>Waarden worden bij elkaar opgeteld</t>
  </si>
  <si>
    <t>Speling</t>
  </si>
  <si>
    <t xml:space="preserve">FMS Plus </t>
  </si>
  <si>
    <t>Excel versie fout</t>
  </si>
  <si>
    <t>Systeem</t>
  </si>
  <si>
    <t>Test incorrecte velden</t>
  </si>
  <si>
    <t>Blanco invulveld</t>
  </si>
  <si>
    <t>Veld heeft tekst</t>
  </si>
  <si>
    <t>Lengte te kort</t>
  </si>
  <si>
    <t>Lengte te lang</t>
  </si>
  <si>
    <t>Minimale lengte:</t>
  </si>
  <si>
    <t>Maximale lengte:</t>
  </si>
  <si>
    <t>Gordijn</t>
  </si>
  <si>
    <t>Radius</t>
  </si>
  <si>
    <t>Golfdiepte</t>
  </si>
  <si>
    <t>Type</t>
  </si>
  <si>
    <t>overig</t>
  </si>
  <si>
    <t>inches heeft komma</t>
  </si>
  <si>
    <t>PELMET</t>
  </si>
  <si>
    <t>Rail 1</t>
  </si>
  <si>
    <t>Rail 2</t>
  </si>
  <si>
    <t>Rechte rail &lt;&gt;</t>
  </si>
  <si>
    <t xml:space="preserve">Gebogen rail      = </t>
  </si>
  <si>
    <t>Rail 3</t>
  </si>
  <si>
    <t>FMS Dual</t>
  </si>
  <si>
    <t>Maat voor</t>
  </si>
  <si>
    <t>Maat achter</t>
  </si>
  <si>
    <t>L</t>
  </si>
  <si>
    <t>S</t>
  </si>
  <si>
    <t xml:space="preserve">Aantal rails      = </t>
  </si>
  <si>
    <t>Hoek bocht L</t>
  </si>
  <si>
    <t>Hoek bocht R</t>
  </si>
  <si>
    <t>1 bocht</t>
  </si>
  <si>
    <t>2 bochten</t>
  </si>
  <si>
    <t>Recht</t>
  </si>
  <si>
    <t>Minimale ruimte Koof</t>
  </si>
  <si>
    <t>Afstand achterkant rail</t>
  </si>
  <si>
    <t>Afstand voorkant rail</t>
  </si>
  <si>
    <t>Waarden van geslecteerde rail 1</t>
  </si>
  <si>
    <t>Waarden van geslecteerde rail 2</t>
  </si>
  <si>
    <t>Waarden van geslecteerde rail 3</t>
  </si>
  <si>
    <t>Verschuiving Rail afbeeldingen</t>
  </si>
  <si>
    <t>Verschuiving naar aantal bochten</t>
  </si>
  <si>
    <t>Verschuiving naar situatie</t>
  </si>
  <si>
    <t>Verschuiving naar aantal rails</t>
  </si>
  <si>
    <t>M</t>
  </si>
  <si>
    <t>speling voor</t>
  </si>
  <si>
    <t>speling achter</t>
  </si>
  <si>
    <t>Rail 1 actief 1=J | 0=N</t>
  </si>
  <si>
    <t>Aantal rails</t>
  </si>
  <si>
    <t>Recht of gebogen</t>
  </si>
  <si>
    <t>Vorm keuze</t>
  </si>
  <si>
    <t>Vorm L</t>
  </si>
  <si>
    <t>Vorm J</t>
  </si>
  <si>
    <t>Vorm R</t>
  </si>
  <si>
    <t>Vorm 7</t>
  </si>
  <si>
    <t>Vorm U</t>
  </si>
  <si>
    <t>Vorm N</t>
  </si>
  <si>
    <t>Vorm S</t>
  </si>
  <si>
    <t>Vorm Z</t>
  </si>
  <si>
    <t>Hoek 1</t>
  </si>
  <si>
    <t>Hoek 2</t>
  </si>
  <si>
    <t>Minimale hoek:</t>
  </si>
  <si>
    <t>Rail breedte</t>
  </si>
  <si>
    <t>Radius 10</t>
  </si>
  <si>
    <t>Radius 15</t>
  </si>
  <si>
    <t>Radius 20</t>
  </si>
  <si>
    <t>Rail nummer</t>
  </si>
  <si>
    <t>Rail 2 actief 1=J | 0=N</t>
  </si>
  <si>
    <t>Rail 3 actief 1=J | 0=N</t>
  </si>
  <si>
    <t>Formule</t>
  </si>
  <si>
    <t>Afstand plooi</t>
  </si>
  <si>
    <t>Voor</t>
  </si>
  <si>
    <t>Achter</t>
  </si>
  <si>
    <t>links actief</t>
  </si>
  <si>
    <t>rechts actief</t>
  </si>
  <si>
    <t>Maximale hoek:</t>
  </si>
  <si>
    <t>Description Rails</t>
  </si>
  <si>
    <t>Description General</t>
  </si>
  <si>
    <t xml:space="preserve">Type Rail    = </t>
  </si>
  <si>
    <t xml:space="preserve">in graden      = </t>
  </si>
  <si>
    <t xml:space="preserve">Vorm rail         = </t>
  </si>
  <si>
    <t>Pulldownmenu radius</t>
  </si>
  <si>
    <t>Benaming radius</t>
  </si>
  <si>
    <t>Gesorteerde lijst radius</t>
  </si>
  <si>
    <t>3 rails</t>
  </si>
  <si>
    <t>2 rails</t>
  </si>
  <si>
    <t>1 rail</t>
  </si>
  <si>
    <t>DSXL</t>
  </si>
  <si>
    <t>MCS 1/2</t>
  </si>
  <si>
    <t>MCS 2/3</t>
  </si>
  <si>
    <t>DSXL led gemotoriseerd</t>
  </si>
  <si>
    <t>Shape L</t>
  </si>
  <si>
    <t>Shape Z</t>
  </si>
  <si>
    <t>Shape J</t>
  </si>
  <si>
    <t>Shape R</t>
  </si>
  <si>
    <t>Shape 7</t>
  </si>
  <si>
    <t>Shape U</t>
  </si>
  <si>
    <t>Shape N</t>
  </si>
  <si>
    <t>Shape S</t>
  </si>
  <si>
    <t>Recht geselecteerd</t>
  </si>
  <si>
    <t>Rail 1 plooi geselecteerd</t>
  </si>
  <si>
    <t>Rail 2 plooi geselecteerd</t>
  </si>
  <si>
    <t>Rail 3 plooi geselecteerd</t>
  </si>
  <si>
    <t>Wel/geen wavegordijn</t>
  </si>
  <si>
    <t>Links</t>
  </si>
  <si>
    <t>Midden</t>
  </si>
  <si>
    <t>Rechts</t>
  </si>
  <si>
    <t>A</t>
  </si>
  <si>
    <t>B</t>
  </si>
  <si>
    <t>H</t>
  </si>
  <si>
    <t>I</t>
  </si>
  <si>
    <t>K</t>
  </si>
  <si>
    <t>N</t>
  </si>
  <si>
    <t>O</t>
  </si>
  <si>
    <t>P</t>
  </si>
  <si>
    <t>Q</t>
  </si>
  <si>
    <t>T</t>
  </si>
  <si>
    <t>U</t>
  </si>
  <si>
    <t>V</t>
  </si>
  <si>
    <t>AA</t>
  </si>
  <si>
    <t>CC</t>
  </si>
  <si>
    <t>BB</t>
  </si>
  <si>
    <t>FF</t>
  </si>
  <si>
    <t>EE</t>
  </si>
  <si>
    <t>DD</t>
  </si>
  <si>
    <t>GG</t>
  </si>
  <si>
    <t>HH</t>
  </si>
  <si>
    <t>II</t>
  </si>
  <si>
    <t>Left</t>
  </si>
  <si>
    <t>Centre</t>
  </si>
  <si>
    <t>Right</t>
  </si>
  <si>
    <t>Distance behind track</t>
  </si>
  <si>
    <t>Distance in front track</t>
  </si>
  <si>
    <t>Straight track &lt;&gt;</t>
  </si>
  <si>
    <t xml:space="preserve">Bended track    = </t>
  </si>
  <si>
    <t xml:space="preserve">in degrees      = </t>
  </si>
  <si>
    <t>Track 1</t>
  </si>
  <si>
    <t>Track 2</t>
  </si>
  <si>
    <t>Track 3</t>
  </si>
  <si>
    <t xml:space="preserve">Type track   = </t>
  </si>
  <si>
    <t>Pleat curtain &lt;&gt;</t>
  </si>
  <si>
    <t xml:space="preserve">Wave curtain  = </t>
  </si>
  <si>
    <t>Radius bend</t>
  </si>
  <si>
    <t>Wave depth</t>
  </si>
  <si>
    <t>Angle Left bend</t>
  </si>
  <si>
    <t>Angle Right bend</t>
  </si>
  <si>
    <t>1 track</t>
  </si>
  <si>
    <t>2 tracks</t>
  </si>
  <si>
    <t>3 tracks</t>
  </si>
  <si>
    <t>Straight</t>
  </si>
  <si>
    <t>1 Bend</t>
  </si>
  <si>
    <t>2 Bends</t>
  </si>
  <si>
    <t>Wave curtain</t>
  </si>
  <si>
    <t>Pleat curtain</t>
  </si>
  <si>
    <t>Optie bestaat niet</t>
  </si>
  <si>
    <t xml:space="preserve">Amount of tracks  = </t>
  </si>
  <si>
    <t xml:space="preserve">Shape track    =  </t>
  </si>
  <si>
    <t>Track names bend</t>
  </si>
  <si>
    <t>Track names straight</t>
  </si>
  <si>
    <t>CRS Rectangular 45</t>
  </si>
  <si>
    <t>CRS Square 30</t>
  </si>
  <si>
    <t>Wel/geen optie radius</t>
  </si>
  <si>
    <t>CRS Corded</t>
  </si>
  <si>
    <t>MRS Universal</t>
  </si>
  <si>
    <t>DSXL led Motorised</t>
  </si>
  <si>
    <t>Gap behind curtains</t>
  </si>
  <si>
    <t>Gap between curtains</t>
  </si>
  <si>
    <t>Gap in front curtains</t>
  </si>
  <si>
    <t>Gap between</t>
  </si>
  <si>
    <t>Speling tussen</t>
  </si>
  <si>
    <t>Speling tussen gordijnen</t>
  </si>
  <si>
    <t>Speling achterkant gordijnen</t>
  </si>
  <si>
    <t>Speling voorkant gordijnen</t>
  </si>
  <si>
    <t xml:space="preserve">gordijnen in cm = </t>
  </si>
  <si>
    <t xml:space="preserve">curtains in cm  = </t>
  </si>
  <si>
    <t>* = Afstand gemeten vanuit het midden van de rail.</t>
  </si>
  <si>
    <t>Alle maten</t>
  </si>
  <si>
    <t>Afstand tussen rails*</t>
  </si>
  <si>
    <t>Distance between tracks*</t>
  </si>
  <si>
    <t>All dimensions</t>
  </si>
  <si>
    <t>* = Distance measured from the center of the rail.</t>
  </si>
  <si>
    <t>Visible side</t>
  </si>
  <si>
    <t>Zichtkant</t>
  </si>
  <si>
    <t>Minimal space Pelmet</t>
  </si>
  <si>
    <t xml:space="preserve">   </t>
  </si>
  <si>
    <t>Afstand</t>
  </si>
  <si>
    <t>Formule 2</t>
  </si>
  <si>
    <t>Hoek Links</t>
  </si>
  <si>
    <t>Hoek Rechts</t>
  </si>
  <si>
    <t>Graden</t>
  </si>
  <si>
    <t>Totaal rail 3</t>
  </si>
  <si>
    <t>Totaal rail 2</t>
  </si>
  <si>
    <t>Totaal rail 1</t>
  </si>
  <si>
    <t>Totale breedte</t>
  </si>
  <si>
    <t>Pulldownmenu Radius</t>
  </si>
  <si>
    <t>Pulldownmenu Rails</t>
  </si>
  <si>
    <t>V1.1</t>
  </si>
  <si>
    <t>CRS20</t>
  </si>
  <si>
    <t>CRS28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</si>
</sst>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9" x14ac:knownFonts="1">
    <font>
      <sz val="11"/>
      <color theme="1"/>
      <name val="Source Sans Pro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8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9"/>
      <name val="Aptos Narrow"/>
      <family val="2"/>
      <scheme val="minor"/>
    </font>
    <font>
      <sz val="28"/>
      <name val="Aptos Narrow"/>
      <family val="2"/>
      <scheme val="minor"/>
    </font>
    <font>
      <sz val="8"/>
      <name val="Source Sans Pro"/>
      <family val="2"/>
    </font>
    <font>
      <sz val="8"/>
      <name val="Aptos Narrow"/>
      <family val="2"/>
      <scheme val="minor"/>
    </font>
    <font>
      <sz val="18"/>
      <color theme="1"/>
      <name val="Calibri"/>
      <family val="2"/>
    </font>
    <font>
      <b/>
      <sz val="24"/>
      <color theme="1"/>
      <name val="Calibri"/>
      <family val="2"/>
    </font>
    <font>
      <b/>
      <sz val="18"/>
      <color theme="1"/>
      <name val="Calibri"/>
      <family val="2"/>
    </font>
    <font>
      <sz val="11"/>
      <color theme="0"/>
      <name val="Calibri"/>
      <family val="2"/>
    </font>
    <font>
      <b/>
      <sz val="24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150"/>
      <color theme="1"/>
      <name val="Calibri"/>
      <family val="2"/>
    </font>
    <font>
      <sz val="28"/>
      <color theme="1"/>
      <name val="Calibri"/>
      <family val="2"/>
    </font>
    <font>
      <sz val="36"/>
      <color theme="1"/>
      <name val="Calibri"/>
      <family val="2"/>
    </font>
    <font>
      <sz val="16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u/>
      <sz val="11"/>
      <color theme="1"/>
      <name val="Calibri"/>
      <family val="2"/>
    </font>
    <font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quotePrefix="1" applyFont="1" applyAlignment="1">
      <alignment horizontal="left"/>
    </xf>
    <xf numFmtId="0" fontId="8" fillId="0" borderId="0" xfId="0" quotePrefix="1" applyFont="1" applyAlignment="1">
      <alignment textRotation="90"/>
    </xf>
    <xf numFmtId="0" fontId="8" fillId="0" borderId="24" xfId="0" quotePrefix="1" applyFont="1" applyBorder="1" applyAlignment="1">
      <alignment textRotation="90"/>
    </xf>
    <xf numFmtId="0" fontId="8" fillId="0" borderId="0" xfId="0" quotePrefix="1" applyFont="1"/>
    <xf numFmtId="0" fontId="8" fillId="0" borderId="26" xfId="0" quotePrefix="1" applyFont="1" applyBorder="1" applyAlignment="1">
      <alignment textRotation="90"/>
    </xf>
    <xf numFmtId="0" fontId="8" fillId="4" borderId="74" xfId="0" quotePrefix="1" applyFont="1" applyFill="1" applyBorder="1"/>
    <xf numFmtId="0" fontId="8" fillId="4" borderId="21" xfId="0" quotePrefix="1" applyFont="1" applyFill="1" applyBorder="1"/>
    <xf numFmtId="0" fontId="8" fillId="4" borderId="27" xfId="0" quotePrefix="1" applyFont="1" applyFill="1" applyBorder="1"/>
    <xf numFmtId="0" fontId="8" fillId="4" borderId="69" xfId="0" quotePrefix="1" applyFont="1" applyFill="1" applyBorder="1"/>
    <xf numFmtId="0" fontId="8" fillId="3" borderId="20" xfId="0" quotePrefix="1" applyFont="1" applyFill="1" applyBorder="1" applyAlignment="1">
      <alignment horizontal="center" textRotation="90"/>
    </xf>
    <xf numFmtId="0" fontId="8" fillId="3" borderId="21" xfId="0" quotePrefix="1" applyFont="1" applyFill="1" applyBorder="1" applyAlignment="1">
      <alignment horizontal="center" textRotation="90"/>
    </xf>
    <xf numFmtId="0" fontId="8" fillId="0" borderId="60" xfId="0" applyFont="1" applyBorder="1"/>
    <xf numFmtId="0" fontId="8" fillId="5" borderId="0" xfId="0" applyFont="1" applyFill="1"/>
    <xf numFmtId="0" fontId="8" fillId="5" borderId="59" xfId="0" applyFont="1" applyFill="1" applyBorder="1"/>
    <xf numFmtId="0" fontId="1" fillId="0" borderId="44" xfId="0" applyFont="1" applyBorder="1"/>
    <xf numFmtId="0" fontId="1" fillId="0" borderId="65" xfId="0" applyFont="1" applyBorder="1"/>
    <xf numFmtId="0" fontId="1" fillId="5" borderId="66" xfId="0" applyFont="1" applyFill="1" applyBorder="1" applyAlignment="1">
      <alignment horizontal="center"/>
    </xf>
    <xf numFmtId="0" fontId="1" fillId="0" borderId="66" xfId="0" applyFont="1" applyBorder="1"/>
    <xf numFmtId="0" fontId="1" fillId="0" borderId="22" xfId="0" applyFont="1" applyBorder="1"/>
    <xf numFmtId="0" fontId="1" fillId="0" borderId="67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4" xfId="0" applyFont="1" applyBorder="1"/>
    <xf numFmtId="0" fontId="8" fillId="5" borderId="24" xfId="0" applyFont="1" applyFill="1" applyBorder="1"/>
    <xf numFmtId="0" fontId="1" fillId="0" borderId="23" xfId="0" applyFont="1" applyBorder="1"/>
    <xf numFmtId="0" fontId="1" fillId="5" borderId="17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8" fillId="0" borderId="8" xfId="0" applyFont="1" applyBorder="1"/>
    <xf numFmtId="0" fontId="8" fillId="0" borderId="9" xfId="0" applyFont="1" applyBorder="1"/>
    <xf numFmtId="0" fontId="8" fillId="6" borderId="15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8" fillId="6" borderId="16" xfId="0" applyFont="1" applyFill="1" applyBorder="1"/>
    <xf numFmtId="0" fontId="8" fillId="3" borderId="53" xfId="0" applyFont="1" applyFill="1" applyBorder="1"/>
    <xf numFmtId="0" fontId="8" fillId="0" borderId="34" xfId="0" applyFont="1" applyBorder="1"/>
    <xf numFmtId="0" fontId="8" fillId="0" borderId="35" xfId="0" applyFont="1" applyBorder="1"/>
    <xf numFmtId="0" fontId="8" fillId="0" borderId="36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6" borderId="17" xfId="0" applyFont="1" applyFill="1" applyBorder="1"/>
    <xf numFmtId="0" fontId="8" fillId="3" borderId="31" xfId="0" applyFont="1" applyFill="1" applyBorder="1"/>
    <xf numFmtId="0" fontId="8" fillId="0" borderId="19" xfId="0" applyFont="1" applyBorder="1"/>
    <xf numFmtId="0" fontId="8" fillId="0" borderId="38" xfId="0" applyFont="1" applyBorder="1"/>
    <xf numFmtId="0" fontId="8" fillId="0" borderId="39" xfId="0" applyFont="1" applyBorder="1"/>
    <xf numFmtId="0" fontId="1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8" fillId="3" borderId="32" xfId="0" applyFont="1" applyFill="1" applyBorder="1"/>
    <xf numFmtId="0" fontId="8" fillId="0" borderId="10" xfId="0" applyFont="1" applyBorder="1"/>
    <xf numFmtId="0" fontId="8" fillId="0" borderId="45" xfId="0" applyFont="1" applyBorder="1"/>
    <xf numFmtId="0" fontId="8" fillId="0" borderId="40" xfId="0" applyFont="1" applyBorder="1"/>
    <xf numFmtId="0" fontId="8" fillId="0" borderId="41" xfId="0" applyFont="1" applyBorder="1"/>
    <xf numFmtId="0" fontId="8" fillId="3" borderId="33" xfId="0" applyFont="1" applyFill="1" applyBorder="1"/>
    <xf numFmtId="0" fontId="8" fillId="0" borderId="13" xfId="0" applyFont="1" applyBorder="1"/>
    <xf numFmtId="0" fontId="8" fillId="0" borderId="42" xfId="0" applyFont="1" applyBorder="1"/>
    <xf numFmtId="0" fontId="8" fillId="0" borderId="43" xfId="0" applyFont="1" applyBorder="1"/>
    <xf numFmtId="0" fontId="1" fillId="0" borderId="24" xfId="0" applyFont="1" applyBorder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8" fillId="3" borderId="17" xfId="0" applyFont="1" applyFill="1" applyBorder="1"/>
    <xf numFmtId="0" fontId="1" fillId="8" borderId="0" xfId="0" applyFont="1" applyFill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8" fillId="0" borderId="46" xfId="0" applyFont="1" applyBorder="1"/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57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57" xfId="0" applyFont="1" applyFill="1" applyBorder="1" applyAlignment="1">
      <alignment horizontal="center"/>
    </xf>
    <xf numFmtId="0" fontId="1" fillId="8" borderId="52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8" fillId="0" borderId="5" xfId="0" applyFont="1" applyBorder="1"/>
    <xf numFmtId="0" fontId="8" fillId="0" borderId="23" xfId="0" applyFont="1" applyBorder="1"/>
    <xf numFmtId="0" fontId="8" fillId="0" borderId="37" xfId="0" applyFont="1" applyBorder="1"/>
    <xf numFmtId="0" fontId="1" fillId="7" borderId="20" xfId="0" applyFont="1" applyFill="1" applyBorder="1" applyAlignment="1">
      <alignment horizontal="center"/>
    </xf>
    <xf numFmtId="0" fontId="1" fillId="7" borderId="57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2" xfId="0" applyFont="1" applyBorder="1"/>
    <xf numFmtId="0" fontId="1" fillId="7" borderId="48" xfId="0" applyFont="1" applyFill="1" applyBorder="1" applyAlignment="1">
      <alignment horizontal="right"/>
    </xf>
    <xf numFmtId="0" fontId="1" fillId="7" borderId="48" xfId="0" applyFont="1" applyFill="1" applyBorder="1"/>
    <xf numFmtId="0" fontId="1" fillId="0" borderId="0" xfId="0" applyFont="1" applyAlignment="1">
      <alignment horizontal="right" vertical="center"/>
    </xf>
    <xf numFmtId="0" fontId="1" fillId="8" borderId="48" xfId="0" applyFont="1" applyFill="1" applyBorder="1" applyAlignment="1">
      <alignment vertical="center"/>
    </xf>
    <xf numFmtId="0" fontId="8" fillId="0" borderId="6" xfId="0" applyFont="1" applyBorder="1"/>
    <xf numFmtId="0" fontId="1" fillId="5" borderId="2" xfId="0" applyFont="1" applyFill="1" applyBorder="1"/>
    <xf numFmtId="0" fontId="1" fillId="5" borderId="4" xfId="0" applyFont="1" applyFill="1" applyBorder="1"/>
    <xf numFmtId="0" fontId="1" fillId="5" borderId="29" xfId="0" applyFont="1" applyFill="1" applyBorder="1" applyAlignment="1">
      <alignment horizontal="center"/>
    </xf>
    <xf numFmtId="0" fontId="1" fillId="5" borderId="3" xfId="0" applyFont="1" applyFill="1" applyBorder="1"/>
    <xf numFmtId="0" fontId="1" fillId="0" borderId="48" xfId="0" applyFont="1" applyBorder="1"/>
    <xf numFmtId="0" fontId="1" fillId="8" borderId="48" xfId="0" applyFont="1" applyFill="1" applyBorder="1"/>
    <xf numFmtId="0" fontId="8" fillId="5" borderId="57" xfId="0" applyFont="1" applyFill="1" applyBorder="1"/>
    <xf numFmtId="0" fontId="8" fillId="5" borderId="20" xfId="0" applyFont="1" applyFill="1" applyBorder="1"/>
    <xf numFmtId="0" fontId="8" fillId="4" borderId="64" xfId="0" applyFont="1" applyFill="1" applyBorder="1" applyAlignment="1">
      <alignment horizontal="center"/>
    </xf>
    <xf numFmtId="0" fontId="8" fillId="4" borderId="61" xfId="0" applyFont="1" applyFill="1" applyBorder="1" applyAlignment="1">
      <alignment horizontal="center"/>
    </xf>
    <xf numFmtId="0" fontId="8" fillId="5" borderId="52" xfId="0" applyFont="1" applyFill="1" applyBorder="1"/>
    <xf numFmtId="0" fontId="1" fillId="8" borderId="48" xfId="0" applyFont="1" applyFill="1" applyBorder="1" applyAlignment="1">
      <alignment horizontal="right"/>
    </xf>
    <xf numFmtId="0" fontId="8" fillId="5" borderId="5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6" fillId="0" borderId="0" xfId="0" applyFont="1"/>
    <xf numFmtId="0" fontId="8" fillId="5" borderId="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0" borderId="72" xfId="0" applyFont="1" applyBorder="1"/>
    <xf numFmtId="0" fontId="1" fillId="7" borderId="48" xfId="0" applyFont="1" applyFill="1" applyBorder="1" applyAlignment="1">
      <alignment vertical="center"/>
    </xf>
    <xf numFmtId="0" fontId="1" fillId="4" borderId="36" xfId="0" applyFont="1" applyFill="1" applyBorder="1" applyAlignment="1">
      <alignment horizontal="center"/>
    </xf>
    <xf numFmtId="0" fontId="8" fillId="0" borderId="28" xfId="0" applyFont="1" applyBorder="1"/>
    <xf numFmtId="0" fontId="8" fillId="0" borderId="30" xfId="0" applyFont="1" applyBorder="1"/>
    <xf numFmtId="0" fontId="8" fillId="4" borderId="68" xfId="0" quotePrefix="1" applyFont="1" applyFill="1" applyBorder="1" applyAlignment="1">
      <alignment horizontal="center"/>
    </xf>
    <xf numFmtId="0" fontId="8" fillId="4" borderId="15" xfId="0" quotePrefix="1" applyFont="1" applyFill="1" applyBorder="1" applyAlignment="1">
      <alignment horizontal="center"/>
    </xf>
    <xf numFmtId="0" fontId="8" fillId="4" borderId="30" xfId="0" quotePrefix="1" applyFont="1" applyFill="1" applyBorder="1" applyAlignment="1">
      <alignment horizontal="center"/>
    </xf>
    <xf numFmtId="0" fontId="1" fillId="4" borderId="71" xfId="0" applyFont="1" applyFill="1" applyBorder="1" applyAlignment="1">
      <alignment horizontal="center"/>
    </xf>
    <xf numFmtId="0" fontId="1" fillId="3" borderId="0" xfId="0" applyFont="1" applyFill="1"/>
    <xf numFmtId="0" fontId="13" fillId="0" borderId="0" xfId="0" applyFont="1"/>
    <xf numFmtId="0" fontId="2" fillId="0" borderId="0" xfId="0" applyFont="1"/>
    <xf numFmtId="0" fontId="8" fillId="3" borderId="23" xfId="0" applyFont="1" applyFill="1" applyBorder="1"/>
    <xf numFmtId="0" fontId="8" fillId="3" borderId="6" xfId="0" applyFont="1" applyFill="1" applyBorder="1"/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3" borderId="0" xfId="0" applyFont="1" applyFill="1"/>
    <xf numFmtId="0" fontId="8" fillId="3" borderId="8" xfId="0" applyFont="1" applyFill="1" applyBorder="1"/>
    <xf numFmtId="0" fontId="1" fillId="0" borderId="8" xfId="0" applyFont="1" applyBorder="1"/>
    <xf numFmtId="0" fontId="8" fillId="3" borderId="9" xfId="0" applyFont="1" applyFill="1" applyBorder="1"/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textRotation="90" wrapText="1"/>
    </xf>
    <xf numFmtId="0" fontId="8" fillId="0" borderId="54" xfId="0" applyFont="1" applyBorder="1"/>
    <xf numFmtId="0" fontId="8" fillId="3" borderId="4" xfId="0" quotePrefix="1" applyFont="1" applyFill="1" applyBorder="1"/>
    <xf numFmtId="0" fontId="8" fillId="0" borderId="55" xfId="0" applyFont="1" applyBorder="1"/>
    <xf numFmtId="0" fontId="8" fillId="3" borderId="6" xfId="0" applyFont="1" applyFill="1" applyBorder="1" applyAlignment="1">
      <alignment horizontal="center"/>
    </xf>
    <xf numFmtId="0" fontId="8" fillId="0" borderId="1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7" xfId="0" applyFont="1" applyBorder="1"/>
    <xf numFmtId="0" fontId="1" fillId="0" borderId="45" xfId="0" applyFont="1" applyBorder="1"/>
    <xf numFmtId="0" fontId="8" fillId="3" borderId="54" xfId="0" applyFont="1" applyFill="1" applyBorder="1"/>
    <xf numFmtId="0" fontId="8" fillId="3" borderId="3" xfId="0" quotePrefix="1" applyFont="1" applyFill="1" applyBorder="1"/>
    <xf numFmtId="9" fontId="8" fillId="0" borderId="0" xfId="0" applyNumberFormat="1" applyFont="1"/>
    <xf numFmtId="0" fontId="8" fillId="6" borderId="18" xfId="0" applyFont="1" applyFill="1" applyBorder="1" applyAlignment="1">
      <alignment horizontal="center"/>
    </xf>
    <xf numFmtId="0" fontId="1" fillId="0" borderId="46" xfId="0" applyFont="1" applyBorder="1"/>
    <xf numFmtId="0" fontId="8" fillId="3" borderId="66" xfId="0" applyFont="1" applyFill="1" applyBorder="1"/>
    <xf numFmtId="0" fontId="8" fillId="3" borderId="59" xfId="0" applyFont="1" applyFill="1" applyBorder="1"/>
    <xf numFmtId="0" fontId="8" fillId="0" borderId="22" xfId="0" applyFont="1" applyBorder="1"/>
    <xf numFmtId="0" fontId="8" fillId="0" borderId="67" xfId="0" applyFont="1" applyBorder="1"/>
    <xf numFmtId="0" fontId="8" fillId="3" borderId="5" xfId="0" applyFont="1" applyFill="1" applyBorder="1"/>
    <xf numFmtId="0" fontId="8" fillId="3" borderId="24" xfId="0" applyFont="1" applyFill="1" applyBorder="1"/>
    <xf numFmtId="0" fontId="8" fillId="3" borderId="57" xfId="0" applyFont="1" applyFill="1" applyBorder="1"/>
    <xf numFmtId="0" fontId="8" fillId="3" borderId="26" xfId="0" applyFont="1" applyFill="1" applyBorder="1"/>
    <xf numFmtId="0" fontId="8" fillId="0" borderId="20" xfId="0" applyFont="1" applyBorder="1"/>
    <xf numFmtId="0" fontId="8" fillId="0" borderId="52" xfId="0" applyFont="1" applyBorder="1"/>
    <xf numFmtId="0" fontId="8" fillId="0" borderId="57" xfId="0" applyFont="1" applyBorder="1"/>
    <xf numFmtId="0" fontId="8" fillId="0" borderId="17" xfId="0" applyFont="1" applyBorder="1"/>
    <xf numFmtId="0" fontId="0" fillId="0" borderId="17" xfId="0" applyBorder="1"/>
    <xf numFmtId="0" fontId="8" fillId="3" borderId="7" xfId="0" applyFont="1" applyFill="1" applyBorder="1"/>
    <xf numFmtId="0" fontId="8" fillId="3" borderId="56" xfId="0" applyFont="1" applyFill="1" applyBorder="1"/>
    <xf numFmtId="0" fontId="0" fillId="3" borderId="17" xfId="0" applyFill="1" applyBorder="1"/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8" fillId="4" borderId="15" xfId="0" applyFont="1" applyFill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0" fillId="0" borderId="23" xfId="0" applyBorder="1"/>
    <xf numFmtId="0" fontId="0" fillId="3" borderId="33" xfId="0" applyFill="1" applyBorder="1"/>
    <xf numFmtId="0" fontId="0" fillId="3" borderId="31" xfId="0" applyFill="1" applyBorder="1"/>
    <xf numFmtId="0" fontId="0" fillId="0" borderId="19" xfId="0" applyBorder="1"/>
    <xf numFmtId="0" fontId="0" fillId="0" borderId="48" xfId="0" applyBorder="1"/>
    <xf numFmtId="0" fontId="8" fillId="0" borderId="48" xfId="0" applyFont="1" applyBorder="1"/>
    <xf numFmtId="0" fontId="8" fillId="6" borderId="18" xfId="0" applyFont="1" applyFill="1" applyBorder="1"/>
    <xf numFmtId="0" fontId="0" fillId="3" borderId="47" xfId="0" applyFill="1" applyBorder="1"/>
    <xf numFmtId="0" fontId="0" fillId="0" borderId="49" xfId="0" applyBorder="1"/>
    <xf numFmtId="0" fontId="0" fillId="0" borderId="50" xfId="0" applyBorder="1"/>
    <xf numFmtId="0" fontId="8" fillId="0" borderId="50" xfId="0" applyFont="1" applyBorder="1"/>
    <xf numFmtId="0" fontId="8" fillId="0" borderId="51" xfId="0" applyFont="1" applyBorder="1"/>
    <xf numFmtId="0" fontId="0" fillId="0" borderId="0" xfId="0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8" fillId="0" borderId="0" xfId="0" quotePrefix="1" applyFont="1" applyAlignment="1">
      <alignment horizontal="center" textRotation="90"/>
    </xf>
    <xf numFmtId="0" fontId="8" fillId="0" borderId="0" xfId="0" applyFont="1" applyAlignment="1">
      <alignment textRotation="90"/>
    </xf>
    <xf numFmtId="0" fontId="0" fillId="0" borderId="44" xfId="0" applyBorder="1"/>
    <xf numFmtId="0" fontId="0" fillId="3" borderId="32" xfId="0" applyFill="1" applyBorder="1"/>
    <xf numFmtId="0" fontId="1" fillId="0" borderId="11" xfId="0" applyFont="1" applyBorder="1"/>
    <xf numFmtId="0" fontId="11" fillId="0" borderId="0" xfId="0" applyFont="1"/>
    <xf numFmtId="0" fontId="8" fillId="6" borderId="5" xfId="0" applyFont="1" applyFill="1" applyBorder="1"/>
    <xf numFmtId="0" fontId="1" fillId="0" borderId="10" xfId="0" applyFont="1" applyBorder="1"/>
    <xf numFmtId="0" fontId="1" fillId="0" borderId="12" xfId="0" applyFont="1" applyBorder="1"/>
    <xf numFmtId="0" fontId="8" fillId="0" borderId="1" xfId="0" quotePrefix="1" applyFont="1" applyBorder="1"/>
    <xf numFmtId="0" fontId="1" fillId="0" borderId="32" xfId="0" applyFont="1" applyBorder="1"/>
    <xf numFmtId="0" fontId="1" fillId="0" borderId="17" xfId="0" applyFont="1" applyBorder="1"/>
    <xf numFmtId="0" fontId="8" fillId="0" borderId="14" xfId="0" applyFont="1" applyBorder="1"/>
    <xf numFmtId="0" fontId="8" fillId="0" borderId="44" xfId="0" quotePrefix="1" applyFont="1" applyBorder="1"/>
    <xf numFmtId="0" fontId="8" fillId="0" borderId="46" xfId="0" quotePrefix="1" applyFont="1" applyBorder="1"/>
    <xf numFmtId="0" fontId="1" fillId="0" borderId="0" xfId="0" quotePrefix="1" applyFont="1"/>
    <xf numFmtId="0" fontId="27" fillId="2" borderId="0" xfId="0" applyFont="1" applyFill="1"/>
    <xf numFmtId="0" fontId="21" fillId="2" borderId="0" xfId="0" applyFont="1" applyFill="1" applyAlignment="1">
      <alignment horizontal="center" vertical="center"/>
    </xf>
    <xf numFmtId="0" fontId="1" fillId="0" borderId="3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70" xfId="0" applyFont="1" applyBorder="1"/>
    <xf numFmtId="0" fontId="1" fillId="0" borderId="4" xfId="0" applyFont="1" applyBorder="1"/>
    <xf numFmtId="0" fontId="1" fillId="0" borderId="56" xfId="0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3" borderId="54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5" borderId="1" xfId="0" applyFont="1" applyFill="1" applyBorder="1"/>
    <xf numFmtId="0" fontId="1" fillId="5" borderId="14" xfId="0" applyFont="1" applyFill="1" applyBorder="1"/>
    <xf numFmtId="0" fontId="1" fillId="5" borderId="5" xfId="0" applyFont="1" applyFill="1" applyBorder="1"/>
    <xf numFmtId="0" fontId="1" fillId="5" borderId="0" xfId="0" applyFont="1" applyFill="1"/>
    <xf numFmtId="0" fontId="1" fillId="5" borderId="6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1" fillId="2" borderId="0" xfId="0" applyNumberFormat="1" applyFont="1" applyFill="1"/>
    <xf numFmtId="0" fontId="4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0" fillId="0" borderId="13" xfId="0" applyBorder="1"/>
    <xf numFmtId="0" fontId="0" fillId="0" borderId="46" xfId="0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55" xfId="0" applyFont="1" applyFill="1" applyBorder="1" applyAlignment="1">
      <alignment horizontal="center"/>
    </xf>
    <xf numFmtId="0" fontId="1" fillId="5" borderId="5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9" fillId="2" borderId="10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center" vertical="center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4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9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8" fillId="4" borderId="27" xfId="0" quotePrefix="1" applyFont="1" applyFill="1" applyBorder="1" applyAlignment="1">
      <alignment horizontal="center"/>
    </xf>
    <xf numFmtId="0" fontId="8" fillId="4" borderId="21" xfId="0" quotePrefix="1" applyFont="1" applyFill="1" applyBorder="1" applyAlignment="1">
      <alignment horizontal="center"/>
    </xf>
    <xf numFmtId="0" fontId="8" fillId="4" borderId="58" xfId="0" quotePrefix="1" applyFont="1" applyFill="1" applyBorder="1" applyAlignment="1">
      <alignment horizontal="center"/>
    </xf>
    <xf numFmtId="0" fontId="8" fillId="0" borderId="5" xfId="0" quotePrefix="1" applyFont="1" applyBorder="1" applyAlignment="1">
      <alignment horizontal="center" textRotation="90"/>
    </xf>
    <xf numFmtId="0" fontId="8" fillId="0" borderId="57" xfId="0" quotePrefix="1" applyFont="1" applyBorder="1" applyAlignment="1">
      <alignment horizontal="center" textRotation="90"/>
    </xf>
    <xf numFmtId="0" fontId="8" fillId="0" borderId="0" xfId="0" applyFont="1" applyAlignment="1">
      <alignment horizontal="center" textRotation="90" wrapText="1"/>
    </xf>
    <xf numFmtId="0" fontId="8" fillId="0" borderId="20" xfId="0" applyFont="1" applyBorder="1" applyAlignment="1">
      <alignment horizontal="center" textRotation="90" wrapText="1"/>
    </xf>
    <xf numFmtId="0" fontId="6" fillId="2" borderId="0" xfId="0" quotePrefix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8" fillId="0" borderId="23" xfId="0" quotePrefix="1" applyFont="1" applyBorder="1" applyAlignment="1">
      <alignment horizontal="center" textRotation="90"/>
    </xf>
    <xf numFmtId="0" fontId="8" fillId="0" borderId="6" xfId="0" quotePrefix="1" applyFont="1" applyBorder="1" applyAlignment="1">
      <alignment horizontal="center" textRotation="90"/>
    </xf>
    <xf numFmtId="0" fontId="8" fillId="0" borderId="24" xfId="0" quotePrefix="1" applyFont="1" applyBorder="1" applyAlignment="1">
      <alignment horizontal="center" textRotation="90"/>
    </xf>
    <xf numFmtId="0" fontId="8" fillId="0" borderId="25" xfId="0" quotePrefix="1" applyFont="1" applyBorder="1" applyAlignment="1">
      <alignment horizontal="center" textRotation="90"/>
    </xf>
    <xf numFmtId="0" fontId="8" fillId="0" borderId="26" xfId="0" quotePrefix="1" applyFont="1" applyBorder="1" applyAlignment="1">
      <alignment horizontal="center" textRotation="90"/>
    </xf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>
      <alignment horizontal="lef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14" xfId="0" applyFont="1" applyFill="1" applyBorder="1" applyAlignment="1" applyProtection="1">
      <alignment horizontal="center" vertical="center"/>
      <protection locked="0"/>
    </xf>
    <xf numFmtId="0" fontId="8" fillId="4" borderId="25" xfId="0" quotePrefix="1" applyFont="1" applyFill="1" applyBorder="1" applyAlignment="1">
      <alignment horizontal="center"/>
    </xf>
    <xf numFmtId="0" fontId="8" fillId="4" borderId="20" xfId="0" quotePrefix="1" applyFont="1" applyFill="1" applyBorder="1" applyAlignment="1">
      <alignment horizontal="center"/>
    </xf>
    <xf numFmtId="0" fontId="8" fillId="4" borderId="26" xfId="0" quotePrefix="1" applyFont="1" applyFill="1" applyBorder="1" applyAlignment="1">
      <alignment horizontal="center"/>
    </xf>
    <xf numFmtId="0" fontId="9" fillId="0" borderId="21" xfId="0" quotePrefix="1" applyFont="1" applyBorder="1" applyAlignment="1">
      <alignment horizontal="center"/>
    </xf>
    <xf numFmtId="0" fontId="8" fillId="0" borderId="2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2" xfId="0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8" fillId="0" borderId="6" xfId="0" applyFont="1" applyBorder="1" applyAlignment="1">
      <alignment horizontal="center" textRotation="90" wrapText="1"/>
    </xf>
    <xf numFmtId="0" fontId="8" fillId="0" borderId="52" xfId="0" applyFont="1" applyBorder="1" applyAlignment="1">
      <alignment horizontal="center" textRotation="90" wrapText="1"/>
    </xf>
    <xf numFmtId="0" fontId="8" fillId="0" borderId="52" xfId="0" quotePrefix="1" applyFont="1" applyBorder="1" applyAlignment="1">
      <alignment horizontal="center" textRotation="90"/>
    </xf>
    <xf numFmtId="0" fontId="1" fillId="9" borderId="0" xfId="0" applyFont="1" applyFill="1" applyAlignment="1">
      <alignment horizontal="center"/>
    </xf>
    <xf numFmtId="0" fontId="10" fillId="3" borderId="20" xfId="0" quotePrefix="1" applyFont="1" applyFill="1" applyBorder="1" applyAlignment="1">
      <alignment horizontal="center"/>
    </xf>
    <xf numFmtId="0" fontId="8" fillId="0" borderId="0" xfId="0" quotePrefix="1" applyFont="1" applyAlignment="1">
      <alignment horizontal="center" textRotation="90"/>
    </xf>
    <xf numFmtId="0" fontId="8" fillId="0" borderId="20" xfId="0" quotePrefix="1" applyFont="1" applyBorder="1" applyAlignment="1">
      <alignment horizontal="center" textRotation="9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8" xfId="0" quotePrefix="1" applyFont="1" applyBorder="1" applyAlignment="1">
      <alignment horizontal="center"/>
    </xf>
    <xf numFmtId="0" fontId="8" fillId="0" borderId="29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0" xfId="0" quotePrefix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textRotation="90"/>
    </xf>
    <xf numFmtId="0" fontId="8" fillId="5" borderId="64" xfId="0" applyFont="1" applyFill="1" applyBorder="1" applyAlignment="1">
      <alignment horizontal="center"/>
    </xf>
    <xf numFmtId="0" fontId="8" fillId="5" borderId="62" xfId="0" applyFont="1" applyFill="1" applyBorder="1" applyAlignment="1">
      <alignment horizontal="center"/>
    </xf>
    <xf numFmtId="0" fontId="8" fillId="5" borderId="63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applyFont="1" applyBorder="1" applyAlignment="1">
      <alignment horizontal="center" textRotation="90"/>
    </xf>
    <xf numFmtId="0" fontId="1" fillId="3" borderId="9" xfId="0" applyFont="1" applyFill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4" xfId="0" quotePrefix="1" applyFont="1" applyBorder="1" applyAlignment="1">
      <alignment horizontal="center"/>
    </xf>
    <xf numFmtId="0" fontId="28" fillId="0" borderId="7" xfId="0" quotePrefix="1" applyFont="1" applyBorder="1" applyAlignment="1">
      <alignment horizontal="center"/>
    </xf>
    <xf numFmtId="0" fontId="28" fillId="0" borderId="8" xfId="0" quotePrefix="1" applyFont="1" applyBorder="1" applyAlignment="1">
      <alignment horizontal="center"/>
    </xf>
    <xf numFmtId="0" fontId="28" fillId="0" borderId="56" xfId="0" quotePrefix="1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67" xfId="0" applyFont="1" applyFill="1" applyBorder="1" applyAlignment="1">
      <alignment horizontal="center"/>
    </xf>
    <xf numFmtId="0" fontId="1" fillId="3" borderId="75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4" xfId="0" quotePrefix="1" applyFont="1" applyBorder="1" applyAlignment="1">
      <alignment horizontal="center" textRotation="90"/>
    </xf>
    <xf numFmtId="0" fontId="8" fillId="0" borderId="73" xfId="0" quotePrefix="1" applyFont="1" applyBorder="1" applyAlignment="1">
      <alignment horizontal="center" textRotation="90"/>
    </xf>
    <xf numFmtId="0" fontId="1" fillId="3" borderId="40" xfId="0" applyFont="1" applyFill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5" borderId="66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6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26" fillId="2" borderId="0" xfId="0" applyFont="1" applyFill="1" applyAlignment="1">
      <alignment horizontal="center" vertical="top"/>
    </xf>
    <xf numFmtId="0" fontId="25" fillId="2" borderId="0" xfId="0" applyFont="1" applyFill="1" applyAlignment="1">
      <alignment horizontal="left"/>
    </xf>
    <xf numFmtId="0" fontId="1" fillId="2" borderId="76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57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Standaard" xfId="0" builtinId="0"/>
  </cellStyles>
  <dxfs count="91"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24994659260841701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border>
        <bottom style="dashed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24994659260841701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border>
        <bottom style="dashed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24994659260841701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border>
        <bottom style="dashed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border>
        <left style="thin">
          <color auto="1"/>
        </lef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top/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</dxf>
    <dxf>
      <font>
        <color theme="0"/>
      </font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FFFFBE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em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6.emf"/><Relationship Id="rId1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74</xdr:col>
      <xdr:colOff>0</xdr:colOff>
      <xdr:row>283</xdr:row>
      <xdr:rowOff>0</xdr:rowOff>
    </xdr:from>
    <xdr:to>
      <xdr:col>75</xdr:col>
      <xdr:colOff>44144</xdr:colOff>
      <xdr:row>284</xdr:row>
      <xdr:rowOff>1</xdr:rowOff>
    </xdr:to>
    <xdr:pic>
      <xdr:nvPicPr>
        <xdr:cNvPr id="93" name="Afbeelding 92">
          <a:extLst>
            <a:ext uri="{FF2B5EF4-FFF2-40B4-BE49-F238E27FC236}">
              <a16:creationId xmlns:a16="http://schemas.microsoft.com/office/drawing/2014/main" id="{D7FC3139-464C-B97D-5CD0-43669A332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38313" y="88963500"/>
          <a:ext cx="9140519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282</xdr:row>
      <xdr:rowOff>0</xdr:rowOff>
    </xdr:from>
    <xdr:to>
      <xdr:col>75</xdr:col>
      <xdr:colOff>48539</xdr:colOff>
      <xdr:row>283</xdr:row>
      <xdr:rowOff>78</xdr:rowOff>
    </xdr:to>
    <xdr:pic>
      <xdr:nvPicPr>
        <xdr:cNvPr id="92" name="Afbeelding 91">
          <a:extLst>
            <a:ext uri="{FF2B5EF4-FFF2-40B4-BE49-F238E27FC236}">
              <a16:creationId xmlns:a16="http://schemas.microsoft.com/office/drawing/2014/main" id="{153483F3-31EA-8185-308F-7A88FB1E3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38313" y="83772375"/>
          <a:ext cx="9144914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281</xdr:row>
      <xdr:rowOff>5191046</xdr:rowOff>
    </xdr:from>
    <xdr:to>
      <xdr:col>76</xdr:col>
      <xdr:colOff>32599</xdr:colOff>
      <xdr:row>283</xdr:row>
      <xdr:rowOff>0</xdr:rowOff>
    </xdr:to>
    <xdr:pic>
      <xdr:nvPicPr>
        <xdr:cNvPr id="91" name="Afbeelding 90">
          <a:extLst>
            <a:ext uri="{FF2B5EF4-FFF2-40B4-BE49-F238E27FC236}">
              <a16:creationId xmlns:a16="http://schemas.microsoft.com/office/drawing/2014/main" id="{47BECACC-CEAB-2375-641A-809B1348A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34688" y="83891359"/>
          <a:ext cx="9128974" cy="5191204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285</xdr:row>
      <xdr:rowOff>0</xdr:rowOff>
    </xdr:from>
    <xdr:to>
      <xdr:col>75</xdr:col>
      <xdr:colOff>7622</xdr:colOff>
      <xdr:row>286</xdr:row>
      <xdr:rowOff>1</xdr:rowOff>
    </xdr:to>
    <xdr:pic>
      <xdr:nvPicPr>
        <xdr:cNvPr id="90" name="Afbeelding 89">
          <a:extLst>
            <a:ext uri="{FF2B5EF4-FFF2-40B4-BE49-F238E27FC236}">
              <a16:creationId xmlns:a16="http://schemas.microsoft.com/office/drawing/2014/main" id="{CA3E51BC-31A2-335A-75B5-7DAE8A538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38313" y="99345750"/>
          <a:ext cx="9103997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286</xdr:row>
      <xdr:rowOff>0</xdr:rowOff>
    </xdr:from>
    <xdr:to>
      <xdr:col>76</xdr:col>
      <xdr:colOff>55258</xdr:colOff>
      <xdr:row>287</xdr:row>
      <xdr:rowOff>80</xdr:rowOff>
    </xdr:to>
    <xdr:pic>
      <xdr:nvPicPr>
        <xdr:cNvPr id="84" name="Afbeelding 83">
          <a:extLst>
            <a:ext uri="{FF2B5EF4-FFF2-40B4-BE49-F238E27FC236}">
              <a16:creationId xmlns:a16="http://schemas.microsoft.com/office/drawing/2014/main" id="{3001DC9F-9BAE-7E06-F684-82B3E385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934688" y="104536875"/>
          <a:ext cx="9151633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1</xdr:colOff>
      <xdr:row>287</xdr:row>
      <xdr:rowOff>0</xdr:rowOff>
    </xdr:from>
    <xdr:to>
      <xdr:col>75</xdr:col>
      <xdr:colOff>5284</xdr:colOff>
      <xdr:row>288</xdr:row>
      <xdr:rowOff>79</xdr:rowOff>
    </xdr:to>
    <xdr:pic>
      <xdr:nvPicPr>
        <xdr:cNvPr id="89" name="Afbeelding 88">
          <a:extLst>
            <a:ext uri="{FF2B5EF4-FFF2-40B4-BE49-F238E27FC236}">
              <a16:creationId xmlns:a16="http://schemas.microsoft.com/office/drawing/2014/main" id="{5D55DF3B-3129-246B-E195-1E6FD9B5E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814501" y="110871000"/>
          <a:ext cx="9097328" cy="5195455"/>
        </a:xfrm>
        <a:prstGeom prst="rect">
          <a:avLst/>
        </a:prstGeom>
      </xdr:spPr>
    </xdr:pic>
    <xdr:clientData/>
  </xdr:twoCellAnchor>
  <xdr:twoCellAnchor editAs="oneCell">
    <xdr:from>
      <xdr:col>74</xdr:col>
      <xdr:colOff>1</xdr:colOff>
      <xdr:row>284</xdr:row>
      <xdr:rowOff>0</xdr:rowOff>
    </xdr:from>
    <xdr:to>
      <xdr:col>75</xdr:col>
      <xdr:colOff>28986</xdr:colOff>
      <xdr:row>285</xdr:row>
      <xdr:rowOff>79</xdr:rowOff>
    </xdr:to>
    <xdr:pic>
      <xdr:nvPicPr>
        <xdr:cNvPr id="88" name="Afbeelding 87">
          <a:extLst>
            <a:ext uri="{FF2B5EF4-FFF2-40B4-BE49-F238E27FC236}">
              <a16:creationId xmlns:a16="http://schemas.microsoft.com/office/drawing/2014/main" id="{CBB2EF38-9764-ED2F-0E48-429F00A2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838314" y="94154625"/>
          <a:ext cx="9125360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281</xdr:row>
      <xdr:rowOff>-1</xdr:rowOff>
    </xdr:from>
    <xdr:to>
      <xdr:col>76</xdr:col>
      <xdr:colOff>81257</xdr:colOff>
      <xdr:row>282</xdr:row>
      <xdr:rowOff>1</xdr:rowOff>
    </xdr:to>
    <xdr:pic>
      <xdr:nvPicPr>
        <xdr:cNvPr id="87" name="Afbeelding 86">
          <a:extLst>
            <a:ext uri="{FF2B5EF4-FFF2-40B4-BE49-F238E27FC236}">
              <a16:creationId xmlns:a16="http://schemas.microsoft.com/office/drawing/2014/main" id="{7B251637-AF49-F8F3-6B2D-F4628AD03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934688" y="78700312"/>
          <a:ext cx="9177632" cy="5191126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280</xdr:row>
      <xdr:rowOff>0</xdr:rowOff>
    </xdr:from>
    <xdr:to>
      <xdr:col>76</xdr:col>
      <xdr:colOff>1607</xdr:colOff>
      <xdr:row>281</xdr:row>
      <xdr:rowOff>2748</xdr:rowOff>
    </xdr:to>
    <xdr:pic>
      <xdr:nvPicPr>
        <xdr:cNvPr id="86" name="Afbeelding 85">
          <a:extLst>
            <a:ext uri="{FF2B5EF4-FFF2-40B4-BE49-F238E27FC236}">
              <a16:creationId xmlns:a16="http://schemas.microsoft.com/office/drawing/2014/main" id="{36CF75EB-4EDA-2132-8409-FD7C6EBA6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934688" y="73509188"/>
          <a:ext cx="9096375" cy="5193874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279</xdr:row>
      <xdr:rowOff>0</xdr:rowOff>
    </xdr:from>
    <xdr:to>
      <xdr:col>76</xdr:col>
      <xdr:colOff>1607</xdr:colOff>
      <xdr:row>280</xdr:row>
      <xdr:rowOff>6803</xdr:rowOff>
    </xdr:to>
    <xdr:pic>
      <xdr:nvPicPr>
        <xdr:cNvPr id="85" name="Afbeelding 84">
          <a:extLst>
            <a:ext uri="{FF2B5EF4-FFF2-40B4-BE49-F238E27FC236}">
              <a16:creationId xmlns:a16="http://schemas.microsoft.com/office/drawing/2014/main" id="{7B77A1D4-5498-5D73-5126-838F9A816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934688" y="68318063"/>
          <a:ext cx="9096375" cy="5197927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285</xdr:row>
      <xdr:rowOff>0</xdr:rowOff>
    </xdr:from>
    <xdr:to>
      <xdr:col>76</xdr:col>
      <xdr:colOff>28717</xdr:colOff>
      <xdr:row>286</xdr:row>
      <xdr:rowOff>1</xdr:rowOff>
    </xdr:to>
    <xdr:pic>
      <xdr:nvPicPr>
        <xdr:cNvPr id="83" name="Afbeelding 82">
          <a:extLst>
            <a:ext uri="{FF2B5EF4-FFF2-40B4-BE49-F238E27FC236}">
              <a16:creationId xmlns:a16="http://schemas.microsoft.com/office/drawing/2014/main" id="{063EB0D6-D483-A093-5A14-DF441692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8934688" y="99345750"/>
          <a:ext cx="9125092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279</xdr:row>
      <xdr:rowOff>0</xdr:rowOff>
    </xdr:from>
    <xdr:to>
      <xdr:col>75</xdr:col>
      <xdr:colOff>15796</xdr:colOff>
      <xdr:row>280</xdr:row>
      <xdr:rowOff>81</xdr:rowOff>
    </xdr:to>
    <xdr:pic>
      <xdr:nvPicPr>
        <xdr:cNvPr id="82" name="Afbeelding 81">
          <a:extLst>
            <a:ext uri="{FF2B5EF4-FFF2-40B4-BE49-F238E27FC236}">
              <a16:creationId xmlns:a16="http://schemas.microsoft.com/office/drawing/2014/main" id="{1E2C7030-E406-7B42-60DF-2268C24F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838313" y="68199000"/>
          <a:ext cx="9112171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276</xdr:row>
      <xdr:rowOff>0</xdr:rowOff>
    </xdr:from>
    <xdr:to>
      <xdr:col>75</xdr:col>
      <xdr:colOff>13709</xdr:colOff>
      <xdr:row>277</xdr:row>
      <xdr:rowOff>0</xdr:rowOff>
    </xdr:to>
    <xdr:pic>
      <xdr:nvPicPr>
        <xdr:cNvPr id="81" name="Afbeelding 80">
          <a:extLst>
            <a:ext uri="{FF2B5EF4-FFF2-40B4-BE49-F238E27FC236}">
              <a16:creationId xmlns:a16="http://schemas.microsoft.com/office/drawing/2014/main" id="{688FB42D-2C78-C09D-26CE-02A41A6E8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838313" y="52625625"/>
          <a:ext cx="9110084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276</xdr:row>
      <xdr:rowOff>0</xdr:rowOff>
    </xdr:from>
    <xdr:to>
      <xdr:col>76</xdr:col>
      <xdr:colOff>45820</xdr:colOff>
      <xdr:row>277</xdr:row>
      <xdr:rowOff>0</xdr:rowOff>
    </xdr:to>
    <xdr:pic>
      <xdr:nvPicPr>
        <xdr:cNvPr id="80" name="Afbeelding 79">
          <a:extLst>
            <a:ext uri="{FF2B5EF4-FFF2-40B4-BE49-F238E27FC236}">
              <a16:creationId xmlns:a16="http://schemas.microsoft.com/office/drawing/2014/main" id="{01468AC7-2E1A-2C3F-3319-81DB25EC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8934688" y="52625625"/>
          <a:ext cx="9142195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278</xdr:row>
      <xdr:rowOff>0</xdr:rowOff>
    </xdr:from>
    <xdr:to>
      <xdr:col>76</xdr:col>
      <xdr:colOff>859</xdr:colOff>
      <xdr:row>279</xdr:row>
      <xdr:rowOff>1</xdr:rowOff>
    </xdr:to>
    <xdr:pic>
      <xdr:nvPicPr>
        <xdr:cNvPr id="79" name="Afbeelding 78">
          <a:extLst>
            <a:ext uri="{FF2B5EF4-FFF2-40B4-BE49-F238E27FC236}">
              <a16:creationId xmlns:a16="http://schemas.microsoft.com/office/drawing/2014/main" id="{921B6111-6782-7D4A-F1E0-0EB600CC9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934688" y="63007875"/>
          <a:ext cx="9097234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287</xdr:row>
      <xdr:rowOff>0</xdr:rowOff>
    </xdr:from>
    <xdr:to>
      <xdr:col>76</xdr:col>
      <xdr:colOff>32599</xdr:colOff>
      <xdr:row>288</xdr:row>
      <xdr:rowOff>79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33C04405-6166-7C10-B0A3-588C42E6C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934688" y="109728000"/>
          <a:ext cx="9128974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281</xdr:row>
      <xdr:rowOff>0</xdr:rowOff>
    </xdr:from>
    <xdr:to>
      <xdr:col>75</xdr:col>
      <xdr:colOff>43129</xdr:colOff>
      <xdr:row>282</xdr:row>
      <xdr:rowOff>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D6B91C8-4D21-8EC3-265F-E539C40F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9838313" y="78581250"/>
          <a:ext cx="9139504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286</xdr:row>
      <xdr:rowOff>0</xdr:rowOff>
    </xdr:from>
    <xdr:to>
      <xdr:col>75</xdr:col>
      <xdr:colOff>20164</xdr:colOff>
      <xdr:row>287</xdr:row>
      <xdr:rowOff>80</xdr:rowOff>
    </xdr:to>
    <xdr:pic>
      <xdr:nvPicPr>
        <xdr:cNvPr id="78" name="Afbeelding 77">
          <a:extLst>
            <a:ext uri="{FF2B5EF4-FFF2-40B4-BE49-F238E27FC236}">
              <a16:creationId xmlns:a16="http://schemas.microsoft.com/office/drawing/2014/main" id="{7C525369-E273-483C-DC60-842E1B01E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9838313" y="104536875"/>
          <a:ext cx="9116539" cy="5191125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280</xdr:row>
      <xdr:rowOff>0</xdr:rowOff>
    </xdr:from>
    <xdr:to>
      <xdr:col>75</xdr:col>
      <xdr:colOff>76043</xdr:colOff>
      <xdr:row>281</xdr:row>
      <xdr:rowOff>79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55D61733-C559-0E19-FC8C-1D2A5BA62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9838313" y="73390125"/>
          <a:ext cx="9172418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277</xdr:row>
      <xdr:rowOff>1</xdr:rowOff>
    </xdr:from>
    <xdr:to>
      <xdr:col>76</xdr:col>
      <xdr:colOff>1607</xdr:colOff>
      <xdr:row>278</xdr:row>
      <xdr:rowOff>6804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A79D0963-278D-53CA-3F8D-94AABE7D8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8934688" y="57816751"/>
          <a:ext cx="9096375" cy="5197928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277</xdr:row>
      <xdr:rowOff>1</xdr:rowOff>
    </xdr:from>
    <xdr:to>
      <xdr:col>75</xdr:col>
      <xdr:colOff>0</xdr:colOff>
      <xdr:row>278</xdr:row>
      <xdr:rowOff>466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C82E86CF-9641-3331-936E-13AE55B5E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9909750" y="58646787"/>
          <a:ext cx="9103179" cy="5198393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278</xdr:row>
      <xdr:rowOff>0</xdr:rowOff>
    </xdr:from>
    <xdr:to>
      <xdr:col>75</xdr:col>
      <xdr:colOff>5170</xdr:colOff>
      <xdr:row>279</xdr:row>
      <xdr:rowOff>1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C67176A1-C7CC-77F0-D410-D9416758A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9838313" y="63007875"/>
          <a:ext cx="9101545" cy="5191125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284</xdr:row>
      <xdr:rowOff>0</xdr:rowOff>
    </xdr:from>
    <xdr:to>
      <xdr:col>76</xdr:col>
      <xdr:colOff>23650</xdr:colOff>
      <xdr:row>285</xdr:row>
      <xdr:rowOff>79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D9F2BC8-B776-6ACC-4CB3-5AF50AD53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8934688" y="94154625"/>
          <a:ext cx="9120025" cy="5191125"/>
        </a:xfrm>
        <a:prstGeom prst="rect">
          <a:avLst/>
        </a:prstGeom>
      </xdr:spPr>
    </xdr:pic>
    <xdr:clientData/>
  </xdr:twoCellAnchor>
  <xdr:twoCellAnchor editAs="oneCell">
    <xdr:from>
      <xdr:col>72</xdr:col>
      <xdr:colOff>166691</xdr:colOff>
      <xdr:row>276</xdr:row>
      <xdr:rowOff>0</xdr:rowOff>
    </xdr:from>
    <xdr:to>
      <xdr:col>74</xdr:col>
      <xdr:colOff>0</xdr:colOff>
      <xdr:row>277</xdr:row>
      <xdr:rowOff>59796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id="{B30AFCAB-C3D5-36C7-4D7D-EA8239E6B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0660298" y="53462464"/>
          <a:ext cx="9249452" cy="5257726"/>
        </a:xfrm>
        <a:prstGeom prst="rect">
          <a:avLst/>
        </a:prstGeom>
      </xdr:spPr>
    </xdr:pic>
    <xdr:clientData/>
  </xdr:twoCellAnchor>
  <xdr:twoCellAnchor editAs="oneCell">
    <xdr:from>
      <xdr:col>72</xdr:col>
      <xdr:colOff>166691</xdr:colOff>
      <xdr:row>277</xdr:row>
      <xdr:rowOff>5197927</xdr:rowOff>
    </xdr:from>
    <xdr:to>
      <xdr:col>74</xdr:col>
      <xdr:colOff>0</xdr:colOff>
      <xdr:row>279</xdr:row>
      <xdr:rowOff>59970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6BD6A583-E325-6605-6919-4AF8AF32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0660298" y="63858320"/>
          <a:ext cx="9249452" cy="5257899"/>
        </a:xfrm>
        <a:prstGeom prst="rect">
          <a:avLst/>
        </a:prstGeom>
      </xdr:spPr>
    </xdr:pic>
    <xdr:clientData/>
  </xdr:twoCellAnchor>
  <xdr:twoCellAnchor editAs="oneCell">
    <xdr:from>
      <xdr:col>72</xdr:col>
      <xdr:colOff>166692</xdr:colOff>
      <xdr:row>277</xdr:row>
      <xdr:rowOff>0</xdr:rowOff>
    </xdr:from>
    <xdr:to>
      <xdr:col>74</xdr:col>
      <xdr:colOff>0</xdr:colOff>
      <xdr:row>278</xdr:row>
      <xdr:rowOff>58827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5A3B180C-9BE6-2A1B-D202-B9E8DAC0C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660299" y="58660393"/>
          <a:ext cx="9249451" cy="5256754"/>
        </a:xfrm>
        <a:prstGeom prst="rect">
          <a:avLst/>
        </a:prstGeom>
      </xdr:spPr>
    </xdr:pic>
    <xdr:clientData/>
  </xdr:twoCellAnchor>
  <xdr:twoCellAnchor editAs="oneCell">
    <xdr:from>
      <xdr:col>74</xdr:col>
      <xdr:colOff>9036560</xdr:colOff>
      <xdr:row>283</xdr:row>
      <xdr:rowOff>-1</xdr:rowOff>
    </xdr:from>
    <xdr:to>
      <xdr:col>76</xdr:col>
      <xdr:colOff>0</xdr:colOff>
      <xdr:row>284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D3DFFD0-A9E8-2FEF-B777-E911517FB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8874873" y="89082562"/>
          <a:ext cx="9156190" cy="519112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19</xdr:col>
      <xdr:colOff>414</xdr:colOff>
      <xdr:row>7</xdr:row>
      <xdr:rowOff>30813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1CF9AE-49A8-4375-8844-5130F2CE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564821" y="190500"/>
          <a:ext cx="4381500" cy="117381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11206</xdr:colOff>
          <xdr:row>3</xdr:row>
          <xdr:rowOff>16759</xdr:rowOff>
        </xdr:from>
        <xdr:to>
          <xdr:col>50</xdr:col>
          <xdr:colOff>11207</xdr:colOff>
          <xdr:row>29</xdr:row>
          <xdr:rowOff>2263</xdr:rowOff>
        </xdr:to>
        <xdr:pic>
          <xdr:nvPicPr>
            <xdr:cNvPr id="5" name="Afbeelding 4">
              <a:extLst>
                <a:ext uri="{FF2B5EF4-FFF2-40B4-BE49-F238E27FC236}">
                  <a16:creationId xmlns:a16="http://schemas.microsoft.com/office/drawing/2014/main" id="{29C630A0-9B6B-44E3-A69C-F1711C892A6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Afbeelding" spid="_x0000_s3214"/>
                </a:ext>
              </a:extLst>
            </xdr:cNvPicPr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 bwMode="auto">
            <a:xfrm>
              <a:off x="6896420" y="588259"/>
              <a:ext cx="9361716" cy="4992933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74</xdr:col>
      <xdr:colOff>93519</xdr:colOff>
      <xdr:row>280</xdr:row>
      <xdr:rowOff>4861645</xdr:rowOff>
    </xdr:from>
    <xdr:to>
      <xdr:col>75</xdr:col>
      <xdr:colOff>8638309</xdr:colOff>
      <xdr:row>281</xdr:row>
      <xdr:rowOff>213802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922E18E7-CFBE-47CF-9A75-AD1007F3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9613610" y="68176918"/>
          <a:ext cx="17636835" cy="547612"/>
        </a:xfrm>
        <a:prstGeom prst="rect">
          <a:avLst/>
        </a:prstGeom>
      </xdr:spPr>
    </xdr:pic>
    <xdr:clientData/>
  </xdr:twoCellAnchor>
  <xdr:twoCellAnchor editAs="oneCell">
    <xdr:from>
      <xdr:col>74</xdr:col>
      <xdr:colOff>315194</xdr:colOff>
      <xdr:row>286</xdr:row>
      <xdr:rowOff>4927453</xdr:rowOff>
    </xdr:from>
    <xdr:to>
      <xdr:col>75</xdr:col>
      <xdr:colOff>8859984</xdr:colOff>
      <xdr:row>287</xdr:row>
      <xdr:rowOff>279609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3A4CAF7F-FBED-4D7B-BAB0-8B2DDF96D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9835285" y="99415453"/>
          <a:ext cx="17636835" cy="5476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14</xdr:row>
          <xdr:rowOff>0</xdr:rowOff>
        </xdr:from>
        <xdr:to>
          <xdr:col>62</xdr:col>
          <xdr:colOff>1416629</xdr:colOff>
          <xdr:row>28</xdr:row>
          <xdr:rowOff>175931</xdr:rowOff>
        </xdr:to>
        <xdr:pic>
          <xdr:nvPicPr>
            <xdr:cNvPr id="6" name="Afbeelding 5">
              <a:extLst>
                <a:ext uri="{FF2B5EF4-FFF2-40B4-BE49-F238E27FC236}">
                  <a16:creationId xmlns:a16="http://schemas.microsoft.com/office/drawing/2014/main" id="{B678A2D6-89F4-B2C0-E3FD-ACE7A49BEEF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afbeelding2" spid="_x0000_s3215"/>
                </a:ext>
              </a:extLst>
            </xdr:cNvPicPr>
          </xdr:nvPicPr>
          <xdr:blipFill>
            <a:blip xmlns:r="http://schemas.openxmlformats.org/officeDocument/2006/relationships" r:embed="rId31"/>
            <a:srcRect/>
            <a:stretch>
              <a:fillRect/>
            </a:stretch>
          </xdr:blipFill>
          <xdr:spPr bwMode="auto">
            <a:xfrm>
              <a:off x="16209818" y="2701636"/>
              <a:ext cx="4966855" cy="28602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73</xdr:col>
      <xdr:colOff>3577042</xdr:colOff>
      <xdr:row>276</xdr:row>
      <xdr:rowOff>4297869</xdr:rowOff>
    </xdr:from>
    <xdr:to>
      <xdr:col>73</xdr:col>
      <xdr:colOff>5162022</xdr:colOff>
      <xdr:row>276</xdr:row>
      <xdr:rowOff>5069954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C2524E3E-BB5F-4DA5-ADCD-5D23AB7D0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34095142" y="57066369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74</xdr:col>
      <xdr:colOff>3815002</xdr:colOff>
      <xdr:row>276</xdr:row>
      <xdr:rowOff>4298859</xdr:rowOff>
    </xdr:from>
    <xdr:to>
      <xdr:col>74</xdr:col>
      <xdr:colOff>5399982</xdr:colOff>
      <xdr:row>276</xdr:row>
      <xdr:rowOff>5070944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9221DDEA-CB3D-4522-B83A-29127A5EC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439002" y="57067359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75</xdr:col>
      <xdr:colOff>3844155</xdr:colOff>
      <xdr:row>276</xdr:row>
      <xdr:rowOff>4300839</xdr:rowOff>
    </xdr:from>
    <xdr:to>
      <xdr:col>75</xdr:col>
      <xdr:colOff>5429135</xdr:colOff>
      <xdr:row>276</xdr:row>
      <xdr:rowOff>5072924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id="{754EBF45-59C2-456D-8666-7ABDE7A05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574055" y="57069339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73</xdr:col>
      <xdr:colOff>3642850</xdr:colOff>
      <xdr:row>277</xdr:row>
      <xdr:rowOff>4311724</xdr:rowOff>
    </xdr:from>
    <xdr:to>
      <xdr:col>73</xdr:col>
      <xdr:colOff>5227830</xdr:colOff>
      <xdr:row>277</xdr:row>
      <xdr:rowOff>5083809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398FB5AF-8FA9-4745-8333-EA712E192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34160950" y="62261824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74</xdr:col>
      <xdr:colOff>3880810</xdr:colOff>
      <xdr:row>277</xdr:row>
      <xdr:rowOff>4312714</xdr:rowOff>
    </xdr:from>
    <xdr:to>
      <xdr:col>74</xdr:col>
      <xdr:colOff>5465790</xdr:colOff>
      <xdr:row>277</xdr:row>
      <xdr:rowOff>5084799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1F395ECB-7599-4809-9A6A-B7CC87B5B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504810" y="62262814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75</xdr:col>
      <xdr:colOff>3909963</xdr:colOff>
      <xdr:row>277</xdr:row>
      <xdr:rowOff>4314694</xdr:rowOff>
    </xdr:from>
    <xdr:to>
      <xdr:col>75</xdr:col>
      <xdr:colOff>5494943</xdr:colOff>
      <xdr:row>277</xdr:row>
      <xdr:rowOff>5086779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B4823CF2-959B-48AB-A1A8-E6F8D4BA9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639863" y="62264794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73</xdr:col>
      <xdr:colOff>3604749</xdr:colOff>
      <xdr:row>278</xdr:row>
      <xdr:rowOff>4325580</xdr:rowOff>
    </xdr:from>
    <xdr:to>
      <xdr:col>73</xdr:col>
      <xdr:colOff>5189729</xdr:colOff>
      <xdr:row>278</xdr:row>
      <xdr:rowOff>5097665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6E5423E0-5C85-4F0C-A8B3-119D6BE7F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34122849" y="67457280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74</xdr:col>
      <xdr:colOff>3842709</xdr:colOff>
      <xdr:row>278</xdr:row>
      <xdr:rowOff>4326570</xdr:rowOff>
    </xdr:from>
    <xdr:to>
      <xdr:col>74</xdr:col>
      <xdr:colOff>5427689</xdr:colOff>
      <xdr:row>278</xdr:row>
      <xdr:rowOff>5098655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0DA53EF5-E240-4CC8-B5E6-982530C69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466709" y="67458270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75</xdr:col>
      <xdr:colOff>3871862</xdr:colOff>
      <xdr:row>278</xdr:row>
      <xdr:rowOff>4328550</xdr:rowOff>
    </xdr:from>
    <xdr:to>
      <xdr:col>75</xdr:col>
      <xdr:colOff>5456842</xdr:colOff>
      <xdr:row>278</xdr:row>
      <xdr:rowOff>5100635</xdr:rowOff>
    </xdr:to>
    <xdr:pic>
      <xdr:nvPicPr>
        <xdr:cNvPr id="59" name="Afbeelding 58">
          <a:extLst>
            <a:ext uri="{FF2B5EF4-FFF2-40B4-BE49-F238E27FC236}">
              <a16:creationId xmlns:a16="http://schemas.microsoft.com/office/drawing/2014/main" id="{7D142B27-3A98-4EF7-AA8F-3DCED90C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601762" y="67460250"/>
          <a:ext cx="1584980" cy="772085"/>
        </a:xfrm>
        <a:prstGeom prst="rect">
          <a:avLst/>
        </a:prstGeom>
      </xdr:spPr>
    </xdr:pic>
    <xdr:clientData/>
  </xdr:twoCellAnchor>
  <xdr:twoCellAnchor editAs="oneCell">
    <xdr:from>
      <xdr:col>74</xdr:col>
      <xdr:colOff>3795086</xdr:colOff>
      <xdr:row>279</xdr:row>
      <xdr:rowOff>4326566</xdr:rowOff>
    </xdr:from>
    <xdr:to>
      <xdr:col>74</xdr:col>
      <xdr:colOff>5380066</xdr:colOff>
      <xdr:row>279</xdr:row>
      <xdr:rowOff>5094321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id="{D6F1A8D2-7F17-4052-A3BB-CBC57C3A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633399" y="72525566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3895675</xdr:colOff>
      <xdr:row>279</xdr:row>
      <xdr:rowOff>4328546</xdr:rowOff>
    </xdr:from>
    <xdr:to>
      <xdr:col>75</xdr:col>
      <xdr:colOff>5480655</xdr:colOff>
      <xdr:row>279</xdr:row>
      <xdr:rowOff>5096301</xdr:rowOff>
    </xdr:to>
    <xdr:pic>
      <xdr:nvPicPr>
        <xdr:cNvPr id="61" name="Afbeelding 60">
          <a:extLst>
            <a:ext uri="{FF2B5EF4-FFF2-40B4-BE49-F238E27FC236}">
              <a16:creationId xmlns:a16="http://schemas.microsoft.com/office/drawing/2014/main" id="{6D42E19E-893C-4F6B-8F98-16546A2A9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625575" y="72641846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3718885</xdr:colOff>
      <xdr:row>280</xdr:row>
      <xdr:rowOff>4264655</xdr:rowOff>
    </xdr:from>
    <xdr:to>
      <xdr:col>74</xdr:col>
      <xdr:colOff>5303865</xdr:colOff>
      <xdr:row>280</xdr:row>
      <xdr:rowOff>5032410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id="{A9E3BE16-8AC4-40ED-B1FE-84E6CA696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557198" y="66415280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3748038</xdr:colOff>
      <xdr:row>280</xdr:row>
      <xdr:rowOff>4266635</xdr:rowOff>
    </xdr:from>
    <xdr:to>
      <xdr:col>75</xdr:col>
      <xdr:colOff>5333018</xdr:colOff>
      <xdr:row>280</xdr:row>
      <xdr:rowOff>5034390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E76003EF-DCBD-43DF-88F9-8ED6CD574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682726" y="66417260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3799848</xdr:colOff>
      <xdr:row>281</xdr:row>
      <xdr:rowOff>4297992</xdr:rowOff>
    </xdr:from>
    <xdr:to>
      <xdr:col>74</xdr:col>
      <xdr:colOff>5384828</xdr:colOff>
      <xdr:row>281</xdr:row>
      <xdr:rowOff>5065747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6574EC34-409D-4CD6-8303-2A5D38E1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638161" y="71639742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3829001</xdr:colOff>
      <xdr:row>281</xdr:row>
      <xdr:rowOff>4299972</xdr:rowOff>
    </xdr:from>
    <xdr:to>
      <xdr:col>75</xdr:col>
      <xdr:colOff>5413981</xdr:colOff>
      <xdr:row>281</xdr:row>
      <xdr:rowOff>5067727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446EFA81-5254-4AD2-B0C0-E8AF0A64B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763689" y="71641722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3833186</xdr:colOff>
      <xdr:row>282</xdr:row>
      <xdr:rowOff>4259892</xdr:rowOff>
    </xdr:from>
    <xdr:to>
      <xdr:col>74</xdr:col>
      <xdr:colOff>5418166</xdr:colOff>
      <xdr:row>282</xdr:row>
      <xdr:rowOff>5027647</xdr:rowOff>
    </xdr:to>
    <xdr:pic>
      <xdr:nvPicPr>
        <xdr:cNvPr id="66" name="Afbeelding 65">
          <a:extLst>
            <a:ext uri="{FF2B5EF4-FFF2-40B4-BE49-F238E27FC236}">
              <a16:creationId xmlns:a16="http://schemas.microsoft.com/office/drawing/2014/main" id="{886F29B8-14F3-4B82-9BB4-F14AA449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671499" y="76792767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3862339</xdr:colOff>
      <xdr:row>282</xdr:row>
      <xdr:rowOff>4261872</xdr:rowOff>
    </xdr:from>
    <xdr:to>
      <xdr:col>75</xdr:col>
      <xdr:colOff>5447319</xdr:colOff>
      <xdr:row>282</xdr:row>
      <xdr:rowOff>5029627</xdr:rowOff>
    </xdr:to>
    <xdr:pic>
      <xdr:nvPicPr>
        <xdr:cNvPr id="67" name="Afbeelding 66">
          <a:extLst>
            <a:ext uri="{FF2B5EF4-FFF2-40B4-BE49-F238E27FC236}">
              <a16:creationId xmlns:a16="http://schemas.microsoft.com/office/drawing/2014/main" id="{7DCCFFB6-4F04-4796-A8D3-387E5D59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797027" y="76794747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3842713</xdr:colOff>
      <xdr:row>283</xdr:row>
      <xdr:rowOff>4293229</xdr:rowOff>
    </xdr:from>
    <xdr:to>
      <xdr:col>74</xdr:col>
      <xdr:colOff>5427693</xdr:colOff>
      <xdr:row>283</xdr:row>
      <xdr:rowOff>5060984</xdr:rowOff>
    </xdr:to>
    <xdr:pic>
      <xdr:nvPicPr>
        <xdr:cNvPr id="68" name="Afbeelding 67">
          <a:extLst>
            <a:ext uri="{FF2B5EF4-FFF2-40B4-BE49-F238E27FC236}">
              <a16:creationId xmlns:a16="http://schemas.microsoft.com/office/drawing/2014/main" id="{810E2BFF-CF38-4E16-B314-D7B8A5FB6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681026" y="82017229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3871866</xdr:colOff>
      <xdr:row>283</xdr:row>
      <xdr:rowOff>4295209</xdr:rowOff>
    </xdr:from>
    <xdr:to>
      <xdr:col>75</xdr:col>
      <xdr:colOff>5456846</xdr:colOff>
      <xdr:row>283</xdr:row>
      <xdr:rowOff>5062964</xdr:rowOff>
    </xdr:to>
    <xdr:pic>
      <xdr:nvPicPr>
        <xdr:cNvPr id="69" name="Afbeelding 68">
          <a:extLst>
            <a:ext uri="{FF2B5EF4-FFF2-40B4-BE49-F238E27FC236}">
              <a16:creationId xmlns:a16="http://schemas.microsoft.com/office/drawing/2014/main" id="{CFB2BE20-9C88-41C4-9B10-3EDE4AD8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806554" y="82019209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3899863</xdr:colOff>
      <xdr:row>284</xdr:row>
      <xdr:rowOff>4278943</xdr:rowOff>
    </xdr:from>
    <xdr:to>
      <xdr:col>74</xdr:col>
      <xdr:colOff>5484843</xdr:colOff>
      <xdr:row>284</xdr:row>
      <xdr:rowOff>5046698</xdr:rowOff>
    </xdr:to>
    <xdr:pic>
      <xdr:nvPicPr>
        <xdr:cNvPr id="70" name="Afbeelding 69">
          <a:extLst>
            <a:ext uri="{FF2B5EF4-FFF2-40B4-BE49-F238E27FC236}">
              <a16:creationId xmlns:a16="http://schemas.microsoft.com/office/drawing/2014/main" id="{761D0C15-829A-4FB5-8901-5880260A3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738176" y="87194068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3929016</xdr:colOff>
      <xdr:row>284</xdr:row>
      <xdr:rowOff>4280923</xdr:rowOff>
    </xdr:from>
    <xdr:to>
      <xdr:col>75</xdr:col>
      <xdr:colOff>5513996</xdr:colOff>
      <xdr:row>284</xdr:row>
      <xdr:rowOff>5048678</xdr:rowOff>
    </xdr:to>
    <xdr:pic>
      <xdr:nvPicPr>
        <xdr:cNvPr id="71" name="Afbeelding 70">
          <a:extLst>
            <a:ext uri="{FF2B5EF4-FFF2-40B4-BE49-F238E27FC236}">
              <a16:creationId xmlns:a16="http://schemas.microsoft.com/office/drawing/2014/main" id="{E111DA0C-DB7B-4175-835C-9A7FD3049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863704" y="87196048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3905251</xdr:colOff>
      <xdr:row>285</xdr:row>
      <xdr:rowOff>4310064</xdr:rowOff>
    </xdr:from>
    <xdr:to>
      <xdr:col>74</xdr:col>
      <xdr:colOff>5490231</xdr:colOff>
      <xdr:row>285</xdr:row>
      <xdr:rowOff>5077819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3B9E447A-E6D0-4033-A22F-7BEC4E8D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743564" y="92416314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3934404</xdr:colOff>
      <xdr:row>285</xdr:row>
      <xdr:rowOff>4312044</xdr:rowOff>
    </xdr:from>
    <xdr:to>
      <xdr:col>75</xdr:col>
      <xdr:colOff>5519384</xdr:colOff>
      <xdr:row>285</xdr:row>
      <xdr:rowOff>5079799</xdr:rowOff>
    </xdr:to>
    <xdr:pic>
      <xdr:nvPicPr>
        <xdr:cNvPr id="73" name="Afbeelding 72">
          <a:extLst>
            <a:ext uri="{FF2B5EF4-FFF2-40B4-BE49-F238E27FC236}">
              <a16:creationId xmlns:a16="http://schemas.microsoft.com/office/drawing/2014/main" id="{3E3D744D-9C5E-4ECD-BB23-18E510F68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869092" y="92418294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4015367</xdr:colOff>
      <xdr:row>286</xdr:row>
      <xdr:rowOff>4226318</xdr:rowOff>
    </xdr:from>
    <xdr:to>
      <xdr:col>75</xdr:col>
      <xdr:colOff>5600347</xdr:colOff>
      <xdr:row>286</xdr:row>
      <xdr:rowOff>4994073</xdr:rowOff>
    </xdr:to>
    <xdr:pic>
      <xdr:nvPicPr>
        <xdr:cNvPr id="75" name="Afbeelding 74">
          <a:extLst>
            <a:ext uri="{FF2B5EF4-FFF2-40B4-BE49-F238E27FC236}">
              <a16:creationId xmlns:a16="http://schemas.microsoft.com/office/drawing/2014/main" id="{C5FED8EE-019A-4705-856B-EE8238927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950055" y="97523693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74</xdr:col>
      <xdr:colOff>3995743</xdr:colOff>
      <xdr:row>287</xdr:row>
      <xdr:rowOff>4281486</xdr:rowOff>
    </xdr:from>
    <xdr:to>
      <xdr:col>74</xdr:col>
      <xdr:colOff>5580723</xdr:colOff>
      <xdr:row>287</xdr:row>
      <xdr:rowOff>5049241</xdr:rowOff>
    </xdr:to>
    <xdr:pic>
      <xdr:nvPicPr>
        <xdr:cNvPr id="76" name="Afbeelding 75">
          <a:extLst>
            <a:ext uri="{FF2B5EF4-FFF2-40B4-BE49-F238E27FC236}">
              <a16:creationId xmlns:a16="http://schemas.microsoft.com/office/drawing/2014/main" id="{3589E79C-DED2-403B-8A25-FEEED36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834056" y="102769986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75</xdr:col>
      <xdr:colOff>4024896</xdr:colOff>
      <xdr:row>287</xdr:row>
      <xdr:rowOff>4283466</xdr:rowOff>
    </xdr:from>
    <xdr:to>
      <xdr:col>75</xdr:col>
      <xdr:colOff>5609876</xdr:colOff>
      <xdr:row>287</xdr:row>
      <xdr:rowOff>5051221</xdr:rowOff>
    </xdr:to>
    <xdr:pic>
      <xdr:nvPicPr>
        <xdr:cNvPr id="77" name="Afbeelding 76">
          <a:extLst>
            <a:ext uri="{FF2B5EF4-FFF2-40B4-BE49-F238E27FC236}">
              <a16:creationId xmlns:a16="http://schemas.microsoft.com/office/drawing/2014/main" id="{7B3AD466-5305-4CE1-886E-527703ABA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959584" y="102771966"/>
          <a:ext cx="1584980" cy="767755"/>
        </a:xfrm>
        <a:prstGeom prst="rect">
          <a:avLst/>
        </a:prstGeom>
      </xdr:spPr>
    </xdr:pic>
    <xdr:clientData/>
  </xdr:twoCellAnchor>
  <xdr:twoCellAnchor editAs="oneCell">
    <xdr:from>
      <xdr:col>73</xdr:col>
      <xdr:colOff>484907</xdr:colOff>
      <xdr:row>288</xdr:row>
      <xdr:rowOff>0</xdr:rowOff>
    </xdr:from>
    <xdr:to>
      <xdr:col>73</xdr:col>
      <xdr:colOff>8808085</xdr:colOff>
      <xdr:row>289</xdr:row>
      <xdr:rowOff>2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F87A796E-7858-409C-E375-70CF405FD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207362" y="116066455"/>
          <a:ext cx="8323178" cy="5195454"/>
        </a:xfrm>
        <a:prstGeom prst="rect">
          <a:avLst/>
        </a:prstGeom>
      </xdr:spPr>
    </xdr:pic>
    <xdr:clientData/>
  </xdr:twoCellAnchor>
  <xdr:oneCellAnchor>
    <xdr:from>
      <xdr:col>75</xdr:col>
      <xdr:colOff>4015367</xdr:colOff>
      <xdr:row>286</xdr:row>
      <xdr:rowOff>4226318</xdr:rowOff>
    </xdr:from>
    <xdr:ext cx="1584980" cy="767755"/>
    <xdr:pic>
      <xdr:nvPicPr>
        <xdr:cNvPr id="22" name="Afbeelding 21">
          <a:extLst>
            <a:ext uri="{FF2B5EF4-FFF2-40B4-BE49-F238E27FC236}">
              <a16:creationId xmlns:a16="http://schemas.microsoft.com/office/drawing/2014/main" id="{AF2C4E6C-54F5-40B9-B246-14AC76F16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950055" y="108763193"/>
          <a:ext cx="1584980" cy="767755"/>
        </a:xfrm>
        <a:prstGeom prst="rect">
          <a:avLst/>
        </a:prstGeom>
      </xdr:spPr>
    </xdr:pic>
    <xdr:clientData/>
  </xdr:oneCellAnchor>
  <xdr:oneCellAnchor>
    <xdr:from>
      <xdr:col>75</xdr:col>
      <xdr:colOff>4024896</xdr:colOff>
      <xdr:row>287</xdr:row>
      <xdr:rowOff>4283466</xdr:rowOff>
    </xdr:from>
    <xdr:ext cx="1584980" cy="767755"/>
    <xdr:pic>
      <xdr:nvPicPr>
        <xdr:cNvPr id="25" name="Afbeelding 24">
          <a:extLst>
            <a:ext uri="{FF2B5EF4-FFF2-40B4-BE49-F238E27FC236}">
              <a16:creationId xmlns:a16="http://schemas.microsoft.com/office/drawing/2014/main" id="{5C50220A-C8B8-4A2D-9F66-AC5C94F40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52959584" y="114011466"/>
          <a:ext cx="1584980" cy="767755"/>
        </a:xfrm>
        <a:prstGeom prst="rect">
          <a:avLst/>
        </a:prstGeom>
      </xdr:spPr>
    </xdr:pic>
    <xdr:clientData/>
  </xdr:oneCellAnchor>
  <xdr:twoCellAnchor editAs="oneCell">
    <xdr:from>
      <xdr:col>74</xdr:col>
      <xdr:colOff>3986214</xdr:colOff>
      <xdr:row>286</xdr:row>
      <xdr:rowOff>4224338</xdr:rowOff>
    </xdr:from>
    <xdr:to>
      <xdr:col>74</xdr:col>
      <xdr:colOff>5571194</xdr:colOff>
      <xdr:row>286</xdr:row>
      <xdr:rowOff>4992093</xdr:rowOff>
    </xdr:to>
    <xdr:pic>
      <xdr:nvPicPr>
        <xdr:cNvPr id="74" name="Afbeelding 73">
          <a:extLst>
            <a:ext uri="{FF2B5EF4-FFF2-40B4-BE49-F238E27FC236}">
              <a16:creationId xmlns:a16="http://schemas.microsoft.com/office/drawing/2014/main" id="{8AD7F28D-4D21-454A-9146-8B67C62C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62796">
          <a:off x="43824527" y="97521713"/>
          <a:ext cx="1584980" cy="76775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B18B-275B-432D-997F-F25C04953703}">
  <sheetPr codeName="Blad1">
    <tabColor theme="8" tint="-0.249977111117893"/>
    <pageSetUpPr fitToPage="1"/>
  </sheetPr>
  <dimension ref="A1:CD289"/>
  <sheetViews>
    <sheetView tabSelected="1" zoomScale="85" zoomScaleNormal="85" workbookViewId="0">
      <selection activeCell="F16" sqref="F16:J17"/>
    </sheetView>
  </sheetViews>
  <sheetFormatPr defaultColWidth="4.7109375" defaultRowHeight="15" x14ac:dyDescent="0.25"/>
  <cols>
    <col min="1" max="1" width="4.7109375" style="2" customWidth="1"/>
    <col min="2" max="7" width="4.7109375" style="2"/>
    <col min="8" max="8" width="4.7109375" style="1" customWidth="1"/>
    <col min="9" max="9" width="4.7109375" style="2"/>
    <col min="10" max="10" width="4.7109375" style="2" customWidth="1"/>
    <col min="11" max="11" width="4.7109375" style="2"/>
    <col min="12" max="13" width="4.7109375" style="2" customWidth="1"/>
    <col min="14" max="29" width="4.7109375" style="2"/>
    <col min="30" max="30" width="5.5703125" style="2" customWidth="1"/>
    <col min="31" max="32" width="4.7109375" style="2" customWidth="1"/>
    <col min="33" max="33" width="5.5703125" style="2" customWidth="1"/>
    <col min="34" max="35" width="4.7109375" style="2" customWidth="1"/>
    <col min="36" max="37" width="5.5703125" style="2" customWidth="1"/>
    <col min="38" max="39" width="4.7109375" style="2" customWidth="1"/>
    <col min="40" max="40" width="4.7109375" style="2"/>
    <col min="41" max="41" width="6" style="2" customWidth="1"/>
    <col min="42" max="43" width="4.7109375" style="2"/>
    <col min="44" max="44" width="6" style="2" customWidth="1"/>
    <col min="45" max="45" width="5.5703125" style="2" customWidth="1"/>
    <col min="46" max="46" width="4.7109375" style="2"/>
    <col min="47" max="47" width="6" style="2" customWidth="1"/>
    <col min="48" max="48" width="4.7109375" style="2"/>
    <col min="49" max="49" width="4.7109375" style="2" customWidth="1"/>
    <col min="50" max="50" width="6" style="2" customWidth="1"/>
    <col min="51" max="55" width="4.7109375" style="2"/>
    <col min="56" max="58" width="4.7109375" style="2" customWidth="1"/>
    <col min="59" max="60" width="4.7109375" style="2"/>
    <col min="61" max="61" width="4.7109375" style="2" customWidth="1"/>
    <col min="62" max="62" width="6.5703125" style="2" customWidth="1"/>
    <col min="63" max="63" width="25.140625" style="2" customWidth="1"/>
    <col min="64" max="66" width="9.85546875" style="2" customWidth="1"/>
    <col min="67" max="69" width="25.28515625" style="2" customWidth="1"/>
    <col min="70" max="71" width="10.140625" style="2" customWidth="1"/>
    <col min="72" max="73" width="4.7109375" style="2" customWidth="1"/>
    <col min="74" max="76" width="136.42578125" style="2" customWidth="1"/>
    <col min="77" max="16384" width="4.7109375" style="2"/>
  </cols>
  <sheetData>
    <row r="1" spans="1:81" x14ac:dyDescent="0.25">
      <c r="A1" s="269" t="str">
        <f ca="1">IF(A2="",BP80,BO80)</f>
        <v>Language:</v>
      </c>
      <c r="B1" s="269"/>
      <c r="C1" s="269"/>
      <c r="D1" s="269"/>
      <c r="E1" s="356" t="str">
        <f>IF(A2="","!","")</f>
        <v/>
      </c>
    </row>
    <row r="2" spans="1:81" x14ac:dyDescent="0.25">
      <c r="A2" s="355" t="s">
        <v>21</v>
      </c>
      <c r="B2" s="355"/>
      <c r="C2" s="355"/>
      <c r="D2" s="355"/>
      <c r="E2" s="356"/>
    </row>
    <row r="3" spans="1:81" x14ac:dyDescent="0.25">
      <c r="AV3" s="4"/>
      <c r="AW3" s="4"/>
      <c r="AX3" s="4"/>
      <c r="AY3" s="4"/>
      <c r="AZ3" s="4"/>
    </row>
    <row r="4" spans="1:81" x14ac:dyDescent="0.25">
      <c r="AV4" s="4"/>
      <c r="AW4" s="4"/>
      <c r="AX4" s="4"/>
      <c r="AY4" s="4"/>
      <c r="AZ4" s="4"/>
    </row>
    <row r="5" spans="1:81" x14ac:dyDescent="0.25">
      <c r="AV5" s="4"/>
      <c r="AW5" s="4"/>
      <c r="AX5" s="4"/>
      <c r="AY5" s="4"/>
      <c r="AZ5" s="4"/>
    </row>
    <row r="8" spans="1:81" ht="15" customHeight="1" x14ac:dyDescent="0.25">
      <c r="F8" s="294" t="s">
        <v>87</v>
      </c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</row>
    <row r="9" spans="1:81" s="4" customFormat="1" ht="15" customHeight="1" x14ac:dyDescent="0.25">
      <c r="A9" s="246"/>
      <c r="B9" s="247"/>
      <c r="C9" s="247"/>
      <c r="D9" s="247"/>
      <c r="E9" s="247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Y9" s="2"/>
      <c r="AZ9" s="2"/>
      <c r="BB9" s="248"/>
      <c r="BC9" s="248"/>
      <c r="BD9" s="248"/>
      <c r="BE9" s="248"/>
      <c r="BF9" s="248"/>
      <c r="BG9" s="248"/>
      <c r="BH9" s="248"/>
      <c r="BI9" s="248"/>
    </row>
    <row r="10" spans="1:81" s="4" customFormat="1" ht="15.75" customHeight="1" x14ac:dyDescent="0.25">
      <c r="A10" s="246"/>
      <c r="B10" s="247"/>
      <c r="C10" s="247"/>
      <c r="D10" s="247"/>
      <c r="E10" s="247"/>
      <c r="F10" s="247"/>
      <c r="H10" s="249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Y10" s="2"/>
      <c r="AZ10" s="2"/>
      <c r="BA10" s="248"/>
      <c r="BB10" s="250"/>
      <c r="BC10" s="250"/>
      <c r="BD10" s="250"/>
      <c r="BE10" s="250"/>
      <c r="BF10" s="250"/>
      <c r="BG10" s="250"/>
      <c r="BH10" s="250"/>
      <c r="BI10" s="250"/>
      <c r="BJ10" s="250"/>
    </row>
    <row r="11" spans="1:81" ht="15" customHeight="1" thickBot="1" x14ac:dyDescent="0.3">
      <c r="A11" s="360" t="s">
        <v>266</v>
      </c>
      <c r="B11" s="360"/>
      <c r="BA11" s="248"/>
      <c r="BB11" s="250"/>
      <c r="BC11" s="250"/>
      <c r="BD11" s="250"/>
      <c r="BE11" s="250"/>
      <c r="BF11" s="250"/>
      <c r="BG11" s="250"/>
      <c r="BH11" s="250"/>
      <c r="BI11" s="250"/>
      <c r="BJ11" s="250"/>
    </row>
    <row r="12" spans="1:81" ht="15" customHeight="1" x14ac:dyDescent="0.25">
      <c r="A12" s="321"/>
      <c r="B12" s="301" t="str">
        <f ca="1">IF(A2="","",BO81)</f>
        <v xml:space="preserve">Amount of tracks  = </v>
      </c>
      <c r="C12" s="301"/>
      <c r="D12" s="301"/>
      <c r="E12" s="302"/>
      <c r="F12" s="298" t="s">
        <v>216</v>
      </c>
      <c r="G12" s="299"/>
      <c r="H12" s="299"/>
      <c r="I12" s="299"/>
      <c r="J12" s="300"/>
      <c r="K12" s="293" t="str">
        <f ca="1">IF(A2="","",IF(H125+H126&gt;=1,"!",""))</f>
        <v/>
      </c>
      <c r="L12" s="294"/>
      <c r="M12" s="295" t="str">
        <f ca="1">IF(H125=1,BO104,IF(H126=1,BO105,""))</f>
        <v/>
      </c>
      <c r="N12" s="295"/>
      <c r="O12" s="295"/>
      <c r="P12" s="295"/>
      <c r="Q12" s="295"/>
      <c r="R12" s="295"/>
      <c r="S12" s="295"/>
      <c r="T12" s="295"/>
      <c r="CA12" s="1"/>
      <c r="CC12" s="1"/>
    </row>
    <row r="13" spans="1:81" ht="15" customHeight="1" x14ac:dyDescent="0.25">
      <c r="A13" s="279"/>
      <c r="B13" s="303"/>
      <c r="C13" s="303"/>
      <c r="D13" s="303"/>
      <c r="E13" s="304"/>
      <c r="F13" s="287"/>
      <c r="G13" s="288"/>
      <c r="H13" s="288"/>
      <c r="I13" s="288"/>
      <c r="J13" s="289"/>
      <c r="K13" s="293"/>
      <c r="L13" s="294"/>
      <c r="M13" s="295"/>
      <c r="N13" s="295"/>
      <c r="O13" s="295"/>
      <c r="P13" s="295"/>
      <c r="Q13" s="295"/>
      <c r="R13" s="295"/>
      <c r="S13" s="295"/>
      <c r="T13" s="295"/>
      <c r="AY13" s="4"/>
      <c r="AZ13" s="4"/>
      <c r="CA13" s="1"/>
    </row>
    <row r="14" spans="1:81" ht="15.75" customHeight="1" x14ac:dyDescent="0.25">
      <c r="A14" s="283"/>
      <c r="B14" s="281" t="str">
        <f ca="1">IF(A2="","",BO83)</f>
        <v>Straight track &lt;&gt;</v>
      </c>
      <c r="C14" s="281"/>
      <c r="D14" s="281"/>
      <c r="E14" s="282"/>
      <c r="F14" s="305" t="s">
        <v>220</v>
      </c>
      <c r="G14" s="306"/>
      <c r="H14" s="306"/>
      <c r="I14" s="306"/>
      <c r="J14" s="307"/>
      <c r="K14" s="293" t="str">
        <f ca="1">IF(A2="","",IF(H127+H128&gt;=1,"!",""))</f>
        <v/>
      </c>
      <c r="L14" s="294"/>
      <c r="M14" s="295" t="str">
        <f ca="1">IF(H127=1,BO104,IF(H128=1,BO105,""))</f>
        <v/>
      </c>
      <c r="N14" s="295"/>
      <c r="O14" s="295"/>
      <c r="P14" s="295"/>
      <c r="Q14" s="295"/>
      <c r="R14" s="295"/>
      <c r="S14" s="295"/>
      <c r="T14" s="295"/>
      <c r="AY14" s="4"/>
      <c r="AZ14" s="4"/>
      <c r="CA14" s="1"/>
    </row>
    <row r="15" spans="1:81" ht="15" customHeight="1" x14ac:dyDescent="0.25">
      <c r="A15" s="284"/>
      <c r="B15" s="319" t="str">
        <f ca="1">IF(A2="","",BO84)</f>
        <v xml:space="preserve">Bended track    = </v>
      </c>
      <c r="C15" s="319"/>
      <c r="D15" s="319"/>
      <c r="E15" s="320"/>
      <c r="F15" s="290"/>
      <c r="G15" s="291"/>
      <c r="H15" s="291"/>
      <c r="I15" s="291"/>
      <c r="J15" s="292"/>
      <c r="K15" s="293"/>
      <c r="L15" s="294"/>
      <c r="M15" s="295"/>
      <c r="N15" s="295"/>
      <c r="O15" s="295"/>
      <c r="P15" s="295"/>
      <c r="Q15" s="295"/>
      <c r="R15" s="295"/>
      <c r="S15" s="295"/>
      <c r="T15" s="295"/>
      <c r="CA15" s="1"/>
    </row>
    <row r="16" spans="1:81" ht="15" customHeight="1" x14ac:dyDescent="0.25">
      <c r="A16" s="283"/>
      <c r="B16" s="357" t="str">
        <f ca="1">IF(A2="","",IF(J116=1,"",BO85))</f>
        <v xml:space="preserve">Shape track    =  </v>
      </c>
      <c r="C16" s="357"/>
      <c r="D16" s="357"/>
      <c r="E16" s="358"/>
      <c r="F16" s="329" t="s">
        <v>161</v>
      </c>
      <c r="G16" s="330"/>
      <c r="H16" s="330"/>
      <c r="I16" s="330"/>
      <c r="J16" s="331"/>
      <c r="K16" s="293" t="str">
        <f ca="1">IF(A2="","",IF(H129+H130+H131&gt;=1,"!",""))</f>
        <v/>
      </c>
      <c r="L16" s="294"/>
      <c r="M16" s="295" t="str">
        <f ca="1">IF(H129=1,BO104,IF(H130=1,BO109,IF(H131=1,BO105,"")))</f>
        <v/>
      </c>
      <c r="N16" s="295"/>
      <c r="O16" s="295"/>
      <c r="P16" s="295"/>
      <c r="Q16" s="295"/>
      <c r="R16" s="295"/>
      <c r="S16" s="295"/>
      <c r="T16" s="295"/>
      <c r="CA16" s="1"/>
    </row>
    <row r="17" spans="1:82" x14ac:dyDescent="0.25">
      <c r="A17" s="284"/>
      <c r="B17" s="319"/>
      <c r="C17" s="319"/>
      <c r="D17" s="319"/>
      <c r="E17" s="320"/>
      <c r="F17" s="332"/>
      <c r="G17" s="333"/>
      <c r="H17" s="333"/>
      <c r="I17" s="333"/>
      <c r="J17" s="334"/>
      <c r="K17" s="293"/>
      <c r="L17" s="294"/>
      <c r="M17" s="295"/>
      <c r="N17" s="295"/>
      <c r="O17" s="295"/>
      <c r="P17" s="295"/>
      <c r="Q17" s="295"/>
      <c r="R17" s="295"/>
      <c r="S17" s="295"/>
      <c r="T17" s="295"/>
      <c r="CA17" s="1"/>
    </row>
    <row r="18" spans="1:82" x14ac:dyDescent="0.25">
      <c r="A18" s="279" t="str">
        <f ca="1">IF(B18="","","D")</f>
        <v>D</v>
      </c>
      <c r="B18" s="281" t="str">
        <f ca="1">IF(A2="","",BO87)</f>
        <v>Gap between</v>
      </c>
      <c r="C18" s="281"/>
      <c r="D18" s="281"/>
      <c r="E18" s="282"/>
      <c r="F18" s="287">
        <v>1</v>
      </c>
      <c r="G18" s="288"/>
      <c r="H18" s="288"/>
      <c r="I18" s="288"/>
      <c r="J18" s="289"/>
      <c r="K18" s="293" t="str">
        <f>IF(A2="","",IF(H132+H133+H134+H135&gt;=1,"!",""))</f>
        <v/>
      </c>
      <c r="L18" s="294"/>
      <c r="M18" s="295" t="str">
        <f>IF(H132=1,BO104,IF(H133=1,BO106,IF(H134=1,BO107,IF(H135=1,BO108,""))))</f>
        <v/>
      </c>
      <c r="N18" s="295"/>
      <c r="O18" s="295"/>
      <c r="P18" s="295"/>
      <c r="Q18" s="295"/>
      <c r="R18" s="295"/>
      <c r="S18" s="295"/>
      <c r="T18" s="295"/>
      <c r="CA18" s="1"/>
    </row>
    <row r="19" spans="1:82" x14ac:dyDescent="0.25">
      <c r="A19" s="284"/>
      <c r="B19" s="319" t="str">
        <f ca="1">IF(A2="","",BO88)</f>
        <v xml:space="preserve">curtains in cm  = </v>
      </c>
      <c r="C19" s="319"/>
      <c r="D19" s="319"/>
      <c r="E19" s="320"/>
      <c r="F19" s="290"/>
      <c r="G19" s="291"/>
      <c r="H19" s="291"/>
      <c r="I19" s="291"/>
      <c r="J19" s="292"/>
      <c r="K19" s="293"/>
      <c r="L19" s="294"/>
      <c r="M19" s="295"/>
      <c r="N19" s="295"/>
      <c r="O19" s="295"/>
      <c r="P19" s="295"/>
      <c r="Q19" s="295"/>
      <c r="R19" s="295"/>
      <c r="S19" s="295"/>
      <c r="T19" s="295"/>
      <c r="CA19" s="1"/>
    </row>
    <row r="20" spans="1:82" ht="15" customHeight="1" x14ac:dyDescent="0.25">
      <c r="A20" s="279" t="str">
        <f ca="1">IF(B20="","","A1")</f>
        <v>A1</v>
      </c>
      <c r="B20" s="273" t="str">
        <f ca="1">IF(A2="","",IF(Y107=0,"",IF(J116=1,"",BO89)))</f>
        <v>Angle Left bend</v>
      </c>
      <c r="C20" s="273"/>
      <c r="D20" s="273"/>
      <c r="E20" s="359"/>
      <c r="F20" s="305">
        <v>90</v>
      </c>
      <c r="G20" s="306"/>
      <c r="H20" s="306"/>
      <c r="I20" s="306"/>
      <c r="J20" s="335" t="b">
        <v>0</v>
      </c>
      <c r="K20" s="293" t="str">
        <f ca="1">IF(A2="","",IF(H136+H137+H138+H139&gt;=1,"!",""))</f>
        <v/>
      </c>
      <c r="L20" s="294"/>
      <c r="M20" s="295" t="str">
        <f ca="1">IF(H136=1,BO104,IF(H137=1,BO106,IF(H138=1,BO107,IF(H139=1,BO108,""))))</f>
        <v/>
      </c>
      <c r="N20" s="295"/>
      <c r="O20" s="295"/>
      <c r="P20" s="295"/>
      <c r="Q20" s="295"/>
      <c r="R20" s="295"/>
      <c r="S20" s="295"/>
      <c r="T20" s="295"/>
      <c r="CC20" s="1"/>
    </row>
    <row r="21" spans="1:82" ht="15" customHeight="1" x14ac:dyDescent="0.25">
      <c r="A21" s="284"/>
      <c r="B21" s="319" t="str">
        <f ca="1">IF(B20="","",BO90)</f>
        <v xml:space="preserve">in degrees      = </v>
      </c>
      <c r="C21" s="319"/>
      <c r="D21" s="319"/>
      <c r="E21" s="320"/>
      <c r="F21" s="290"/>
      <c r="G21" s="291"/>
      <c r="H21" s="291"/>
      <c r="I21" s="291"/>
      <c r="J21" s="336"/>
      <c r="K21" s="293"/>
      <c r="L21" s="294"/>
      <c r="M21" s="295"/>
      <c r="N21" s="295"/>
      <c r="O21" s="295"/>
      <c r="P21" s="295"/>
      <c r="Q21" s="295"/>
      <c r="R21" s="295"/>
      <c r="S21" s="295"/>
      <c r="T21" s="295"/>
      <c r="CC21" s="1"/>
    </row>
    <row r="22" spans="1:82" ht="15" customHeight="1" x14ac:dyDescent="0.25">
      <c r="A22" s="279" t="str">
        <f ca="1">IF(B22="","","A2")</f>
        <v/>
      </c>
      <c r="B22" s="281" t="str">
        <f ca="1">IF(A2="","",IF(Y108=0,"",IF(J116=1,"",BO91)))</f>
        <v/>
      </c>
      <c r="C22" s="281"/>
      <c r="D22" s="281"/>
      <c r="E22" s="282"/>
      <c r="F22" s="305"/>
      <c r="G22" s="306"/>
      <c r="H22" s="306"/>
      <c r="I22" s="306"/>
      <c r="J22" s="335" t="b">
        <v>0</v>
      </c>
      <c r="K22" s="293" t="str">
        <f ca="1">IF(A2="","",IF(H140+H141+H142+H143&gt;=1,"!",""))</f>
        <v/>
      </c>
      <c r="L22" s="294"/>
      <c r="M22" s="295" t="str">
        <f ca="1">IF(H140=1,BO104,IF(H141=1,BO106,IF(H142=1,BO107,IF(H143=1,BO108,""))))</f>
        <v/>
      </c>
      <c r="N22" s="295"/>
      <c r="O22" s="295"/>
      <c r="P22" s="295"/>
      <c r="Q22" s="295"/>
      <c r="R22" s="295"/>
      <c r="S22" s="295"/>
      <c r="T22" s="295"/>
      <c r="CD22" s="1"/>
    </row>
    <row r="23" spans="1:82" ht="15" customHeight="1" thickBot="1" x14ac:dyDescent="0.3">
      <c r="A23" s="280"/>
      <c r="B23" s="285" t="str">
        <f ca="1">IF(B22="","",BO92)</f>
        <v/>
      </c>
      <c r="C23" s="285"/>
      <c r="D23" s="285"/>
      <c r="E23" s="286"/>
      <c r="F23" s="308"/>
      <c r="G23" s="309"/>
      <c r="H23" s="309"/>
      <c r="I23" s="309"/>
      <c r="J23" s="337"/>
      <c r="K23" s="293"/>
      <c r="L23" s="294"/>
      <c r="M23" s="295"/>
      <c r="N23" s="295"/>
      <c r="O23" s="295"/>
      <c r="P23" s="295"/>
      <c r="Q23" s="295"/>
      <c r="R23" s="295"/>
      <c r="S23" s="295"/>
      <c r="T23" s="295"/>
    </row>
    <row r="24" spans="1:82" ht="15" customHeight="1" x14ac:dyDescent="0.25">
      <c r="A24" s="251"/>
      <c r="B24" s="4"/>
      <c r="C24" s="4"/>
      <c r="D24" s="4"/>
      <c r="E24" s="4"/>
      <c r="F24" s="4"/>
      <c r="G24" s="4"/>
      <c r="H24" s="4"/>
      <c r="I24" s="4"/>
      <c r="J24" s="4"/>
      <c r="K24" s="252"/>
      <c r="L24" s="252"/>
      <c r="M24" s="253"/>
      <c r="N24" s="253"/>
      <c r="O24" s="254"/>
      <c r="P24" s="254"/>
      <c r="Q24" s="254"/>
      <c r="R24" s="254"/>
      <c r="S24" s="254"/>
      <c r="T24" s="254"/>
    </row>
    <row r="25" spans="1:82" ht="15" customHeight="1" x14ac:dyDescent="0.25">
      <c r="A25" s="296" t="str">
        <f ca="1">IF(B25="","","&gt;1&lt;")</f>
        <v>&gt;1&lt;</v>
      </c>
      <c r="B25" s="509" t="str">
        <f ca="1">IF(A2="","",BO93)</f>
        <v>Track 1</v>
      </c>
      <c r="C25" s="509"/>
      <c r="D25" s="509"/>
      <c r="E25" s="509"/>
      <c r="F25" s="509"/>
      <c r="G25" s="509"/>
      <c r="H25" s="509"/>
      <c r="I25" s="509"/>
      <c r="J25" s="509"/>
      <c r="M25" s="253"/>
      <c r="N25" s="253"/>
      <c r="O25" s="255"/>
    </row>
    <row r="26" spans="1:82" ht="15" customHeight="1" thickBot="1" x14ac:dyDescent="0.3">
      <c r="A26" s="297"/>
      <c r="B26" s="510"/>
      <c r="C26" s="510"/>
      <c r="D26" s="510"/>
      <c r="E26" s="510"/>
      <c r="F26" s="510"/>
      <c r="G26" s="510"/>
      <c r="H26" s="510"/>
      <c r="I26" s="510"/>
      <c r="J26" s="510"/>
      <c r="M26" s="255"/>
      <c r="N26" s="255"/>
      <c r="O26" s="255"/>
    </row>
    <row r="27" spans="1:82" x14ac:dyDescent="0.25">
      <c r="A27" s="321"/>
      <c r="B27" s="301" t="str">
        <f ca="1">IF($A$2="","",$BO$96)</f>
        <v xml:space="preserve">Type track   = </v>
      </c>
      <c r="C27" s="301"/>
      <c r="D27" s="301"/>
      <c r="E27" s="302"/>
      <c r="F27" s="298" t="s">
        <v>9</v>
      </c>
      <c r="G27" s="299"/>
      <c r="H27" s="299"/>
      <c r="I27" s="299"/>
      <c r="J27" s="300"/>
      <c r="K27" s="293" t="str">
        <f ca="1">IF(A2="","",IF(H146+H147+H148&gt;=1,"!",""))</f>
        <v/>
      </c>
      <c r="L27" s="294"/>
      <c r="M27" s="295" t="str">
        <f ca="1">IF(H146=1,BO104,IF(H147=1,BO109,IF(H148=1,BO105,"")))</f>
        <v/>
      </c>
      <c r="N27" s="295"/>
      <c r="O27" s="295"/>
      <c r="P27" s="295"/>
      <c r="Q27" s="295"/>
      <c r="R27" s="295"/>
      <c r="S27" s="295"/>
      <c r="T27" s="295"/>
    </row>
    <row r="28" spans="1:82" s="4" customFormat="1" ht="15.75" customHeight="1" x14ac:dyDescent="0.25">
      <c r="A28" s="279"/>
      <c r="B28" s="303"/>
      <c r="C28" s="303"/>
      <c r="D28" s="303"/>
      <c r="E28" s="304"/>
      <c r="F28" s="287"/>
      <c r="G28" s="288"/>
      <c r="H28" s="288"/>
      <c r="I28" s="288"/>
      <c r="J28" s="289"/>
      <c r="K28" s="293"/>
      <c r="L28" s="294"/>
      <c r="M28" s="295"/>
      <c r="N28" s="295"/>
      <c r="O28" s="295"/>
      <c r="P28" s="295"/>
      <c r="Q28" s="295"/>
      <c r="R28" s="295"/>
      <c r="S28" s="295"/>
      <c r="T28" s="29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</row>
    <row r="29" spans="1:82" s="4" customFormat="1" ht="15.75" customHeight="1" x14ac:dyDescent="0.25">
      <c r="A29" s="283"/>
      <c r="B29" s="281" t="str">
        <f ca="1">IF($A$2="","",$BO$98)</f>
        <v>Pleat curtain &lt;&gt;</v>
      </c>
      <c r="C29" s="281"/>
      <c r="D29" s="281"/>
      <c r="E29" s="282"/>
      <c r="F29" s="329" t="s">
        <v>222</v>
      </c>
      <c r="G29" s="330"/>
      <c r="H29" s="330"/>
      <c r="I29" s="330"/>
      <c r="J29" s="331"/>
      <c r="K29" s="293" t="str">
        <f ca="1">IF(A2="","",IF(H149+H150+H151&gt;=1,"!",""))</f>
        <v/>
      </c>
      <c r="L29" s="294"/>
      <c r="M29" s="295" t="str">
        <f ca="1">IF(H149=1,BO104,IF(H150=1,BO109,IF(H151=1,BO105,"")))</f>
        <v/>
      </c>
      <c r="N29" s="295"/>
      <c r="O29" s="295"/>
      <c r="P29" s="295"/>
      <c r="Q29" s="295"/>
      <c r="R29" s="295"/>
      <c r="S29" s="295"/>
      <c r="T29" s="295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</row>
    <row r="30" spans="1:82" ht="15" customHeight="1" x14ac:dyDescent="0.25">
      <c r="A30" s="284"/>
      <c r="B30" s="319" t="str">
        <f ca="1">IF($A$2="","",$BO$99)</f>
        <v xml:space="preserve">Wave curtain  = </v>
      </c>
      <c r="C30" s="319"/>
      <c r="D30" s="319"/>
      <c r="E30" s="320"/>
      <c r="F30" s="332"/>
      <c r="G30" s="333"/>
      <c r="H30" s="333"/>
      <c r="I30" s="333"/>
      <c r="J30" s="334"/>
      <c r="K30" s="293"/>
      <c r="L30" s="294"/>
      <c r="M30" s="295"/>
      <c r="N30" s="295"/>
      <c r="O30" s="295"/>
      <c r="P30" s="295"/>
      <c r="Q30" s="295"/>
      <c r="R30" s="295"/>
      <c r="S30" s="295"/>
      <c r="T30" s="295"/>
      <c r="AI30" s="531" t="str">
        <f ca="1">IF(H115=1,"",BO122)</f>
        <v>Visible side</v>
      </c>
      <c r="AJ30" s="531"/>
      <c r="AK30" s="531"/>
      <c r="AL30" s="531"/>
      <c r="AM30" s="531"/>
    </row>
    <row r="31" spans="1:82" ht="15" customHeight="1" x14ac:dyDescent="0.25">
      <c r="A31" s="283" t="str">
        <f ca="1">IF(B31="","","B1")</f>
        <v>B1</v>
      </c>
      <c r="B31" s="281" t="str">
        <f ca="1">IF($A$2="","",IF(J116=1,"",$BO$100))</f>
        <v>Radius bend</v>
      </c>
      <c r="C31" s="281"/>
      <c r="D31" s="281"/>
      <c r="E31" s="282"/>
      <c r="F31" s="305" t="s">
        <v>18</v>
      </c>
      <c r="G31" s="306"/>
      <c r="H31" s="306"/>
      <c r="I31" s="306"/>
      <c r="J31" s="307"/>
      <c r="K31" s="293" t="str">
        <f ca="1">IF(A2="","",IF(H152+H153&gt;=1,"!",""))</f>
        <v/>
      </c>
      <c r="L31" s="294"/>
      <c r="M31" s="295" t="str">
        <f ca="1">IF(H152=1,BO104,IF(H153=1,BO109,""))</f>
        <v/>
      </c>
      <c r="N31" s="295"/>
      <c r="O31" s="295"/>
      <c r="P31" s="295"/>
      <c r="Q31" s="295"/>
      <c r="R31" s="295"/>
      <c r="S31" s="295"/>
      <c r="T31" s="295"/>
      <c r="W31" s="530" t="str">
        <f ca="1">IF(H115=1,"",BO111)</f>
        <v>All dimensions</v>
      </c>
      <c r="X31" s="530"/>
      <c r="Y31" s="530"/>
      <c r="Z31" s="530"/>
      <c r="AA31" s="530"/>
      <c r="AB31" s="530"/>
      <c r="AC31" s="530"/>
      <c r="AD31" s="530"/>
      <c r="AE31" s="530"/>
      <c r="AF31" s="530"/>
      <c r="AI31" s="531"/>
      <c r="AJ31" s="531"/>
      <c r="AK31" s="531"/>
      <c r="AL31" s="531"/>
      <c r="AM31" s="531"/>
      <c r="AO31" s="532" t="str">
        <f ca="1">IF(H115=1,"",BO112)</f>
        <v>Distance between tracks*</v>
      </c>
      <c r="AP31" s="532"/>
      <c r="AQ31" s="532"/>
      <c r="AR31" s="532"/>
      <c r="AS31" s="532"/>
      <c r="AT31" s="532"/>
      <c r="AU31" s="532"/>
      <c r="AV31" s="532"/>
      <c r="AW31" s="532"/>
      <c r="AX31" s="532"/>
    </row>
    <row r="32" spans="1:82" ht="15" customHeight="1" x14ac:dyDescent="0.25">
      <c r="A32" s="284"/>
      <c r="B32" s="319" t="str">
        <f ca="1">IF($A$2="","",IF(J116=1,"",$BO$101))</f>
        <v xml:space="preserve">in cm           = </v>
      </c>
      <c r="C32" s="319"/>
      <c r="D32" s="319"/>
      <c r="E32" s="320"/>
      <c r="F32" s="290"/>
      <c r="G32" s="291"/>
      <c r="H32" s="291"/>
      <c r="I32" s="291"/>
      <c r="J32" s="292"/>
      <c r="K32" s="293"/>
      <c r="L32" s="294"/>
      <c r="M32" s="295"/>
      <c r="N32" s="295"/>
      <c r="O32" s="295"/>
      <c r="P32" s="295"/>
      <c r="Q32" s="295"/>
      <c r="R32" s="295"/>
      <c r="S32" s="295"/>
      <c r="T32" s="295"/>
      <c r="W32" s="530"/>
      <c r="X32" s="530"/>
      <c r="Y32" s="530"/>
      <c r="Z32" s="530"/>
      <c r="AA32" s="530"/>
      <c r="AB32" s="530"/>
      <c r="AC32" s="530"/>
      <c r="AD32" s="530"/>
      <c r="AE32" s="530"/>
      <c r="AF32" s="530"/>
      <c r="AK32" s="247"/>
      <c r="AL32" s="247"/>
      <c r="AM32" s="247"/>
      <c r="AO32" s="532"/>
      <c r="AP32" s="532"/>
      <c r="AQ32" s="532"/>
      <c r="AR32" s="532"/>
      <c r="AS32" s="532"/>
      <c r="AT32" s="532"/>
      <c r="AU32" s="532"/>
      <c r="AV32" s="532"/>
      <c r="AW32" s="532"/>
      <c r="AX32" s="532"/>
    </row>
    <row r="33" spans="1:50" ht="15.75" customHeight="1" x14ac:dyDescent="0.25">
      <c r="A33" s="279" t="str">
        <f ca="1">IF(B33="","","C")</f>
        <v>C</v>
      </c>
      <c r="B33" s="281" t="str">
        <f ca="1">IF($A$2="","",IF(J117=1,"",$BO$102))</f>
        <v>Wave depth</v>
      </c>
      <c r="C33" s="281"/>
      <c r="D33" s="281"/>
      <c r="E33" s="282"/>
      <c r="F33" s="287">
        <v>16</v>
      </c>
      <c r="G33" s="288"/>
      <c r="H33" s="288"/>
      <c r="I33" s="288"/>
      <c r="J33" s="289"/>
      <c r="K33" s="293" t="str">
        <f ca="1">IF(A2="","",IF(H154+H155+H156+H157&gt;=1,"!",""))</f>
        <v/>
      </c>
      <c r="L33" s="294"/>
      <c r="M33" s="295" t="str">
        <f ca="1">IF(H154=1,BO104,IF(H155=1,BO106,IF(H156=1,BO107,IF(H157=1,BO108,""))))</f>
        <v/>
      </c>
      <c r="N33" s="295"/>
      <c r="O33" s="295"/>
      <c r="P33" s="295"/>
      <c r="Q33" s="295"/>
      <c r="R33" s="295"/>
      <c r="S33" s="295"/>
      <c r="T33" s="295"/>
      <c r="W33" s="530"/>
      <c r="X33" s="530"/>
      <c r="Y33" s="530"/>
      <c r="Z33" s="530"/>
      <c r="AA33" s="530"/>
      <c r="AB33" s="530"/>
      <c r="AC33" s="530"/>
      <c r="AD33" s="530"/>
      <c r="AE33" s="530"/>
      <c r="AF33" s="530"/>
      <c r="AK33" s="247"/>
      <c r="AO33" s="532"/>
      <c r="AP33" s="532"/>
      <c r="AQ33" s="532"/>
      <c r="AR33" s="532"/>
      <c r="AS33" s="532"/>
      <c r="AT33" s="532"/>
      <c r="AU33" s="532"/>
      <c r="AV33" s="532"/>
      <c r="AW33" s="532"/>
      <c r="AX33" s="532"/>
    </row>
    <row r="34" spans="1:50" ht="15" customHeight="1" thickBot="1" x14ac:dyDescent="0.3">
      <c r="A34" s="280"/>
      <c r="B34" s="285" t="str">
        <f ca="1">IF($A$2="","",IF(J117=1,"",$BO$103))</f>
        <v xml:space="preserve">in cm           = </v>
      </c>
      <c r="C34" s="285"/>
      <c r="D34" s="285"/>
      <c r="E34" s="286"/>
      <c r="F34" s="308"/>
      <c r="G34" s="309"/>
      <c r="H34" s="309"/>
      <c r="I34" s="309"/>
      <c r="J34" s="310"/>
      <c r="K34" s="293"/>
      <c r="L34" s="294"/>
      <c r="M34" s="295"/>
      <c r="N34" s="295"/>
      <c r="O34" s="295"/>
      <c r="P34" s="295"/>
      <c r="Q34" s="295"/>
      <c r="R34" s="295"/>
      <c r="S34" s="295"/>
      <c r="T34" s="295"/>
      <c r="AC34" s="269"/>
      <c r="AD34" s="527" t="str">
        <f ca="1">IF(H115=1," ",IF(F14=BO136," ",IF(OR(F16=BO141, F16=BO143, F16=BO145, F16=BO146, F16=BO147, F16=BO148),BO113,BO114)))</f>
        <v>Left</v>
      </c>
      <c r="AE34" s="527"/>
      <c r="AF34" s="269" t="str">
        <f ca="1">IF(AD34=" ","",IF(AD34=BO113,"(E1)","(E2)"))</f>
        <v>(E1)</v>
      </c>
      <c r="AG34" s="527" t="str">
        <f ca="1">IF(H115=1,"",IF(F14=BO136,"",IF(OR(F16=BO141, F16=BO143, F16=BO145, F16=BO146, F16=BO147, F16=BO148),BO114,BO115)))</f>
        <v>Centre</v>
      </c>
      <c r="AH34" s="527"/>
      <c r="AI34" s="529" t="str">
        <f ca="1">IF(AG34="","",IF(AG34=BO114,"(E2)","(E3)"))</f>
        <v>(E2)</v>
      </c>
      <c r="AJ34" s="527" t="str">
        <f ca="1">IF(H115=1,"",IF(F14=BO138,BO115,""))</f>
        <v/>
      </c>
      <c r="AK34" s="527"/>
      <c r="AL34" s="529" t="str">
        <f ca="1">IF(AJ34="","","(E3)")</f>
        <v/>
      </c>
      <c r="AP34" s="538" t="str">
        <f ca="1">IF(H115=1,"",IF(F14=BO136," ",IF(OR(F16=BO141, F16=BO143, F16=BO145, F16=BO146, F16=BO147, F16=BO148),BO113,BO114)))</f>
        <v>Left</v>
      </c>
      <c r="AQ34" s="538"/>
      <c r="AR34" s="278" t="str">
        <f ca="1">IF(AP34="","",IF(AP34=" ","",IF(AP34=BO113,"(E1)","(E2)")))</f>
        <v>(E1)</v>
      </c>
      <c r="AS34" s="538" t="str">
        <f ca="1">IF(H115=1,"",IF(F14=BO136,"",IF(OR(F16=BO141, F16=BO143, F16=BO145, F16=BO146, F16=BO147, F16=BO148),BO114,BO115)))</f>
        <v>Centre</v>
      </c>
      <c r="AT34" s="538"/>
      <c r="AU34" s="273" t="str">
        <f ca="1">IF(AP34="","",IF(AS34=" ","",IF(AS34=BO114,"(E2)","(E3)")))</f>
        <v>(E2)</v>
      </c>
      <c r="AV34" s="538" t="str">
        <f ca="1">IF(H115=1,"",IF(F14=BO138,BO115,""))</f>
        <v/>
      </c>
      <c r="AW34" s="538"/>
      <c r="AX34" s="273" t="str">
        <f ca="1">IF(AV34="","",IF(AV34=" ","","(E3)"))</f>
        <v/>
      </c>
    </row>
    <row r="35" spans="1:50" ht="15" customHeight="1" x14ac:dyDescent="0.25">
      <c r="AC35" s="269"/>
      <c r="AD35" s="527"/>
      <c r="AE35" s="527"/>
      <c r="AF35" s="269"/>
      <c r="AG35" s="527"/>
      <c r="AH35" s="527"/>
      <c r="AI35" s="529"/>
      <c r="AJ35" s="527"/>
      <c r="AK35" s="527"/>
      <c r="AL35" s="529"/>
      <c r="AP35" s="538"/>
      <c r="AQ35" s="538"/>
      <c r="AR35" s="278"/>
      <c r="AS35" s="538"/>
      <c r="AT35" s="538"/>
      <c r="AU35" s="273"/>
      <c r="AV35" s="538"/>
      <c r="AW35" s="538"/>
      <c r="AX35" s="273"/>
    </row>
    <row r="36" spans="1:50" ht="15" customHeight="1" x14ac:dyDescent="0.35">
      <c r="A36" s="296" t="str">
        <f ca="1">IF(B36="","","&gt;2&lt;")</f>
        <v/>
      </c>
      <c r="B36" s="509" t="str">
        <f ca="1">IF(A2="","",IF(J159=1,BO94,""))</f>
        <v/>
      </c>
      <c r="C36" s="509"/>
      <c r="D36" s="509"/>
      <c r="E36" s="509"/>
      <c r="F36" s="509"/>
      <c r="G36" s="509"/>
      <c r="H36" s="509"/>
      <c r="I36" s="509"/>
      <c r="J36" s="509"/>
      <c r="AD36" s="256"/>
      <c r="AE36" s="256"/>
      <c r="AF36" s="257"/>
      <c r="AG36" s="256"/>
      <c r="AH36" s="256"/>
      <c r="AI36" s="257"/>
      <c r="AJ36" s="256"/>
      <c r="AK36" s="256"/>
      <c r="AL36" s="257"/>
      <c r="AO36" s="249"/>
      <c r="AP36" s="526" t="str">
        <f ca="1">IF(AP37="","","▲")</f>
        <v>▲</v>
      </c>
      <c r="AQ36" s="526"/>
      <c r="AR36" s="249"/>
      <c r="AS36" s="526" t="str">
        <f ca="1">IF(AS37="","","▲")</f>
        <v>▲</v>
      </c>
      <c r="AT36" s="526"/>
      <c r="AU36" s="249"/>
      <c r="AV36" s="526" t="str">
        <f ca="1">IF(AV37="","","▲")</f>
        <v/>
      </c>
      <c r="AW36" s="526"/>
      <c r="AX36" s="249"/>
    </row>
    <row r="37" spans="1:50" ht="15" customHeight="1" thickBot="1" x14ac:dyDescent="0.3">
      <c r="A37" s="297"/>
      <c r="B37" s="510"/>
      <c r="C37" s="510"/>
      <c r="D37" s="510"/>
      <c r="E37" s="510"/>
      <c r="F37" s="510"/>
      <c r="G37" s="510"/>
      <c r="H37" s="510"/>
      <c r="I37" s="510"/>
      <c r="J37" s="510"/>
      <c r="W37" s="1" t="str">
        <f ca="1">IF(X37="","",IF(F12=BO133,"D2",IF(F12=BO134,"D3","D4")))</f>
        <v>D2</v>
      </c>
      <c r="X37" s="278" t="str">
        <f ca="1">IF(H115=1,"",BO116)</f>
        <v>Gap behind curtains</v>
      </c>
      <c r="Y37" s="278"/>
      <c r="Z37" s="278"/>
      <c r="AA37" s="278"/>
      <c r="AB37" s="278"/>
      <c r="AC37" s="278"/>
      <c r="AD37" s="273">
        <f ca="1">IF(H115=1,"",IF(OR(X37="",AD34=""),"",IF(OR(F16=BO142,F16=BO144,F14=BO136),IF(F12=BO133,AK105,IF(F12=BO134,AK95,AK85)),IF(F12=BO133,AI105,IF(F12=BO134,AI95,AI85)))))</f>
        <v>4.5999999999999996</v>
      </c>
      <c r="AE37" s="273"/>
      <c r="AF37" s="2" t="str">
        <f ca="1">IF(H115=1,"",IF(AND(AU104=1,AV104=0),"cm",""))</f>
        <v/>
      </c>
      <c r="AG37" s="273">
        <f ca="1">IF(H115=1,"",IF(OR(X37="",AG34=""),"",IF(OR(F16=BO141,F16=BO143,F16=BO145,F16=BO146,F16=BO147,F16=BO148),IF(F12=BO133,AK105,IF(F12=BO134,AK95,AK85)),IF(F12=BO133,AM105,IF(F12=BO134,AM95,AM85)))))</f>
        <v>4.5999999999999996</v>
      </c>
      <c r="AH37" s="273"/>
      <c r="AI37" s="2" t="str">
        <f ca="1">IF(H115=1,"",IF(AND(AV104=1,AW104=0),"cm",""))</f>
        <v>cm</v>
      </c>
      <c r="AJ37" s="273" t="str">
        <f ca="1">IF(H115=1,"",IF(OR(X37="",AJ34=""),"",IF(F12=BO133,AM105,IF(F12=BO134,AM95,AM85))))</f>
        <v/>
      </c>
      <c r="AK37" s="273"/>
      <c r="AL37" s="2" t="str">
        <f ca="1">IF(H115=1,"",IF(AW104=1,"cm",""))</f>
        <v/>
      </c>
      <c r="AM37" s="258"/>
      <c r="AO37" s="249"/>
      <c r="AP37" s="273">
        <f ca="1">IF(H115=1,"",IF(OR(X37="",AD34=""),"",IF(OR(F16=BO142,F16=BO144,F14=BO136),IF(F12=BO133,AK105+AK106,IF(F12=BO134,AK95+AK96,AK85+AK86)),IF(F12=BO133,AI105+AI106,IF(F12=BO134,AI95+AI96,AI85+AI86)))))</f>
        <v>12.6</v>
      </c>
      <c r="AQ37" s="273"/>
      <c r="AR37" s="249" t="str">
        <f ca="1">IF(H115=1,"",IF(AND(AU104=1,AV104=0),"cm",""))</f>
        <v/>
      </c>
      <c r="AS37" s="273">
        <f ca="1">IF(H115=1,"",IF(OR(X37="",AG34=""),"",IF(OR(F16=BO141,F16=BO143,F16=BO145,F16=BO146,F16=BO147,F16=BO148),IF(F12=BO133,AK105+AK106,IF(F12=BO134,AK95+AK96,AK85+AK86)),IF(F12=BO133,AM105+AM106,IF(F12=BO134,AM95+AM96,AM85+AM86)))))</f>
        <v>12.6</v>
      </c>
      <c r="AT37" s="273"/>
      <c r="AU37" s="249" t="str">
        <f ca="1">IF(H115=1,"",IF(AND(AV104=1,AW104=0),"cm",""))</f>
        <v>cm</v>
      </c>
      <c r="AV37" s="273" t="str">
        <f ca="1">IF(H115=1,"",IF(OR(X37="",AJ34=""),"",IF(F12=BO133,AM105+AM106,IF(F12=BO134,AM95+AM96,AM85+AM86))))</f>
        <v/>
      </c>
      <c r="AW37" s="273"/>
      <c r="AX37" s="249" t="str">
        <f ca="1">IF(H115=1,"",IF(AW104=1,"cm",""))</f>
        <v/>
      </c>
    </row>
    <row r="38" spans="1:50" x14ac:dyDescent="0.25">
      <c r="A38" s="321"/>
      <c r="B38" s="301" t="str">
        <f ca="1">IF($A$2="","",IF(J159=1,$BO$96,""))</f>
        <v/>
      </c>
      <c r="C38" s="301"/>
      <c r="D38" s="301"/>
      <c r="E38" s="302"/>
      <c r="F38" s="298"/>
      <c r="G38" s="299"/>
      <c r="H38" s="299"/>
      <c r="I38" s="299"/>
      <c r="J38" s="300"/>
      <c r="K38" s="293" t="str">
        <f ca="1">IF(A2="","",IF(H160+H161+H162&gt;=1,"!",""))</f>
        <v/>
      </c>
      <c r="L38" s="294"/>
      <c r="M38" s="295" t="str">
        <f ca="1">IF(H160=1,BO104,IF(H161=1,BO109,IF(H162=1,BO105,"")))</f>
        <v/>
      </c>
      <c r="N38" s="295"/>
      <c r="O38" s="295"/>
      <c r="P38" s="295"/>
      <c r="Q38" s="295"/>
      <c r="R38" s="295"/>
      <c r="S38" s="295"/>
      <c r="T38" s="295"/>
      <c r="W38" s="1"/>
      <c r="X38" s="4"/>
      <c r="Y38" s="4"/>
      <c r="Z38" s="4"/>
      <c r="AA38" s="4"/>
      <c r="AB38" s="4"/>
      <c r="AD38" s="4"/>
      <c r="AG38" s="4"/>
      <c r="AJ38" s="4"/>
      <c r="AO38" s="249"/>
      <c r="AP38" s="526" t="str">
        <f ca="1">IF(AP37="","","▼")</f>
        <v>▼</v>
      </c>
      <c r="AQ38" s="526"/>
      <c r="AR38" s="249"/>
      <c r="AS38" s="526" t="str">
        <f ca="1">IF(AS37="","","▼")</f>
        <v>▼</v>
      </c>
      <c r="AT38" s="526"/>
      <c r="AU38" s="249"/>
      <c r="AV38" s="526" t="str">
        <f ca="1">IF(AV37="","","▼")</f>
        <v/>
      </c>
      <c r="AW38" s="526"/>
      <c r="AX38" s="249"/>
    </row>
    <row r="39" spans="1:50" x14ac:dyDescent="0.25">
      <c r="A39" s="279"/>
      <c r="B39" s="303"/>
      <c r="C39" s="303"/>
      <c r="D39" s="303"/>
      <c r="E39" s="304"/>
      <c r="F39" s="287"/>
      <c r="G39" s="288"/>
      <c r="H39" s="288"/>
      <c r="I39" s="288"/>
      <c r="J39" s="289"/>
      <c r="K39" s="293"/>
      <c r="L39" s="294"/>
      <c r="M39" s="295"/>
      <c r="N39" s="295"/>
      <c r="O39" s="295"/>
      <c r="P39" s="295"/>
      <c r="Q39" s="295"/>
      <c r="R39" s="295"/>
      <c r="S39" s="295"/>
      <c r="T39" s="295"/>
      <c r="W39" s="1" t="str">
        <f ca="1">IF(X39="","",IF(F12=BO133,"C2",IF(F12=BO134,"C4","C6")))</f>
        <v>C2</v>
      </c>
      <c r="X39" s="278" t="str">
        <f ca="1">IF(H115=1,"",BO119)</f>
        <v>Distance behind track</v>
      </c>
      <c r="Y39" s="278"/>
      <c r="Z39" s="278"/>
      <c r="AA39" s="278"/>
      <c r="AB39" s="278"/>
      <c r="AC39" s="278"/>
      <c r="AD39" s="273">
        <f ca="1">IF(H115=1,"",IF(OR(X39="",AD34=""),"",IF(OR(F16=BO142,F16=BO144,F14=BO136),IF(F12=BO133,AK106,IF(F12=BO134,AK96,AK86)),IF(F12=BO133,AI106,IF(F12=BO134,AI96,AI86)))))</f>
        <v>8</v>
      </c>
      <c r="AE39" s="273"/>
      <c r="AF39" s="2" t="str">
        <f ca="1">IF(H115=1,"",IF(AND(AU104=1,AV104=0),"cm",""))</f>
        <v/>
      </c>
      <c r="AG39" s="273">
        <f ca="1">IF(H115=1,"",IF(OR(X39="",AG34=""),"",IF(OR(F16=BO141,F16=BO143,F16=BO145,F16=BO146,F16=BO147,F16=BO148),IF(F12=BO133,AK106,IF(F12=BO134,AK96,AK86)),IF(F12=BO133,AM106,IF(F12=BO134,AM96,AM86)))))</f>
        <v>8</v>
      </c>
      <c r="AH39" s="273"/>
      <c r="AI39" s="2" t="str">
        <f ca="1">IF(H115=1,"",IF(AND(AV104=1,AW104=0),"cm",""))</f>
        <v>cm</v>
      </c>
      <c r="AJ39" s="273" t="str">
        <f ca="1">IF(H115=1,"",IF(OR(X39="",AJ34=""),"",IF(F12=BO133,AM106,IF(F12=BO134,AM96,AM86))))</f>
        <v/>
      </c>
      <c r="AK39" s="273"/>
      <c r="AL39" s="2" t="str">
        <f ca="1">IF(H115=1,"",IF(AW104=1,"cm",""))</f>
        <v/>
      </c>
      <c r="AO39" s="528" t="str">
        <f ca="1">IF(H115=1,"",IF(F12=BO133,"&gt;1&lt;",IF(F12=BO134,"&gt;2&lt;","&gt;3&lt;")))</f>
        <v>&gt;1&lt;</v>
      </c>
      <c r="AP39" s="273"/>
      <c r="AQ39" s="273"/>
      <c r="AR39" s="249"/>
      <c r="AS39" s="273"/>
      <c r="AT39" s="273"/>
      <c r="AU39" s="249"/>
      <c r="AV39" s="273"/>
      <c r="AW39" s="273"/>
      <c r="AX39" s="249"/>
    </row>
    <row r="40" spans="1:50" x14ac:dyDescent="0.25">
      <c r="A40" s="283"/>
      <c r="B40" s="281" t="str">
        <f ca="1">IF($A$2="","",IF(J159=1,$BO$98,""))</f>
        <v/>
      </c>
      <c r="C40" s="281"/>
      <c r="D40" s="281"/>
      <c r="E40" s="282"/>
      <c r="F40" s="329"/>
      <c r="G40" s="330"/>
      <c r="H40" s="330"/>
      <c r="I40" s="330"/>
      <c r="J40" s="331"/>
      <c r="K40" s="293" t="str">
        <f ca="1">IF(A2="","",IF(H163+H164+H165&gt;=1,"!",""))</f>
        <v/>
      </c>
      <c r="L40" s="294"/>
      <c r="M40" s="295" t="str">
        <f ca="1">IF(H163=1,BO104,IF(H165=1,BO105,""))</f>
        <v/>
      </c>
      <c r="N40" s="295"/>
      <c r="O40" s="295"/>
      <c r="P40" s="295"/>
      <c r="Q40" s="295"/>
      <c r="R40" s="295"/>
      <c r="S40" s="295"/>
      <c r="T40" s="295"/>
      <c r="W40" s="1" t="str">
        <f ca="1">IF(X40="","",IF(F12=BO133,"C1",IF(F12=BO134,"C3","C5")))</f>
        <v>C1</v>
      </c>
      <c r="X40" s="278" t="str">
        <f ca="1">IF(H115=1,"",BO120)</f>
        <v>Distance in front track</v>
      </c>
      <c r="Y40" s="278"/>
      <c r="Z40" s="278"/>
      <c r="AA40" s="278"/>
      <c r="AB40" s="278"/>
      <c r="AC40" s="278"/>
      <c r="AD40" s="273">
        <f ca="1">IF(H115=1,"",IF(OR(X40="",AD34=""),"",IF(OR(F16=BO142,F16=BO144,F14=BO136),IF(F12=BO133,AK107,IF(F12=BO134,AK97,AK87)),IF(F12=BO133,AI107,IF(F12=BO134,AI97,AI87)))))</f>
        <v>8</v>
      </c>
      <c r="AE40" s="273"/>
      <c r="AF40" s="2" t="str">
        <f ca="1">IF(H115=1,"",IF(AND(AU104=1,AV104=0),"cm",""))</f>
        <v/>
      </c>
      <c r="AG40" s="273">
        <f ca="1">IF(H115=1,"",IF(OR(X40="",AG34=""),"",IF(OR(F16=BO141,F16=BO143,F16=BO145,F16=BO146,F16=BO147,F16=BO148),IF(F12=BO133,AK107,IF(F12=BO134,AK97,AK87)),IF(F12=BO133,AM107,IF(F12=BO134,AM97,AM87)))))</f>
        <v>8</v>
      </c>
      <c r="AH40" s="273"/>
      <c r="AI40" s="2" t="str">
        <f ca="1">IF(H115=1,"",IF(AND(AV104=1,AW104=0),"cm",""))</f>
        <v>cm</v>
      </c>
      <c r="AJ40" s="273" t="str">
        <f ca="1">IF(H115=1,"",IF(OR(X40="",AJ34=""),"",IF(F12=BO133,AM107,IF(F12=BO134,AM97,AM87))))</f>
        <v/>
      </c>
      <c r="AK40" s="273"/>
      <c r="AL40" s="4" t="str">
        <f ca="1">IF(H115=1,"",IF(AW104=1,"cm",""))</f>
        <v/>
      </c>
      <c r="AO40" s="528"/>
      <c r="AP40" s="273"/>
      <c r="AQ40" s="273"/>
      <c r="AR40" s="249"/>
      <c r="AS40" s="273"/>
      <c r="AT40" s="273"/>
      <c r="AU40" s="249"/>
      <c r="AV40" s="273"/>
      <c r="AW40" s="273"/>
      <c r="AX40" s="249"/>
    </row>
    <row r="41" spans="1:50" x14ac:dyDescent="0.25">
      <c r="A41" s="279"/>
      <c r="B41" s="319" t="str">
        <f ca="1">IF($A$2="","",IF(J159=1,$BO$99,""))</f>
        <v/>
      </c>
      <c r="C41" s="319"/>
      <c r="D41" s="319"/>
      <c r="E41" s="320"/>
      <c r="F41" s="332"/>
      <c r="G41" s="333"/>
      <c r="H41" s="333"/>
      <c r="I41" s="333"/>
      <c r="J41" s="334"/>
      <c r="K41" s="293"/>
      <c r="L41" s="294"/>
      <c r="M41" s="295"/>
      <c r="N41" s="295"/>
      <c r="O41" s="295"/>
      <c r="P41" s="295"/>
      <c r="Q41" s="295"/>
      <c r="R41" s="295"/>
      <c r="S41" s="295"/>
      <c r="T41" s="295"/>
      <c r="W41" s="1"/>
      <c r="AO41" s="249"/>
      <c r="AP41" s="526" t="str">
        <f ca="1">IF(AP42="","","▲")</f>
        <v>▲</v>
      </c>
      <c r="AQ41" s="526"/>
      <c r="AR41" s="249"/>
      <c r="AS41" s="526" t="str">
        <f ca="1">IF(AS42="","","▲")</f>
        <v>▲</v>
      </c>
      <c r="AT41" s="526"/>
      <c r="AU41" s="249"/>
      <c r="AV41" s="526" t="str">
        <f ca="1">IF(AV42="","","▲")</f>
        <v/>
      </c>
      <c r="AW41" s="526"/>
      <c r="AX41" s="249"/>
    </row>
    <row r="42" spans="1:50" x14ac:dyDescent="0.25">
      <c r="A42" s="283" t="str">
        <f ca="1">IF(B42="","","B2")</f>
        <v/>
      </c>
      <c r="B42" s="281" t="str">
        <f ca="1">IF($A$2="","",IF(J159=1,IF(J116=1,"",$BO$100),""))</f>
        <v/>
      </c>
      <c r="C42" s="281"/>
      <c r="D42" s="281"/>
      <c r="E42" s="282"/>
      <c r="F42" s="305"/>
      <c r="G42" s="306"/>
      <c r="H42" s="306"/>
      <c r="I42" s="306"/>
      <c r="J42" s="307"/>
      <c r="K42" s="293" t="str">
        <f ca="1">IF(A2="","",IF(H166+H167&gt;=1,"!",""))</f>
        <v/>
      </c>
      <c r="L42" s="294"/>
      <c r="M42" s="295" t="str">
        <f ca="1">IF(H166=1,BO104,IF(H167=1,BO109,""))</f>
        <v/>
      </c>
      <c r="N42" s="295"/>
      <c r="O42" s="295"/>
      <c r="P42" s="295"/>
      <c r="Q42" s="295"/>
      <c r="R42" s="295"/>
      <c r="S42" s="295"/>
      <c r="T42" s="295"/>
      <c r="W42" s="1" t="str">
        <f ca="1">IF(X42="","",IF(F12=BO133,"D1",IF(F12=BO134,"D2","D3")))</f>
        <v>D1</v>
      </c>
      <c r="X42" s="278" t="str">
        <f ca="1">IF(H115=1,"",IF(F12=BO133,BO118,BO117))</f>
        <v>Gap in front curtains</v>
      </c>
      <c r="Y42" s="278"/>
      <c r="Z42" s="278"/>
      <c r="AA42" s="278"/>
      <c r="AB42" s="278"/>
      <c r="AC42" s="278"/>
      <c r="AD42" s="273">
        <f ca="1">IF(H115=1,"",IF(OR(X42="",AD34=""),"",IF(OR(F16=BO142,F16=BO144,F14=BO136),IF(F12=BO133,AK108,IF(F12=BO134,AK105,AK95)),IF(F12=BO133,AI108,IF(F12=BO134,AI105,AI95)))))</f>
        <v>1</v>
      </c>
      <c r="AE42" s="273"/>
      <c r="AF42" s="2" t="str">
        <f ca="1">IF(H115=1,"",IF(AND(AU104=1,AV104=0),"cm",""))</f>
        <v/>
      </c>
      <c r="AG42" s="273">
        <f ca="1">IF(H115=1,"",IF(OR(X42="",AG34=""),"",IF(OR(F16=BO141,F16=BO143,F16=BO145,F16=BO146,F16=BO147,F16=BO148),IF(F12=BO133,AK108,IF(F12=BO134,AK105,AK95)),IF(F12=BO133,AM108,IF(F12=BO134,AM105,AM95)))))</f>
        <v>1</v>
      </c>
      <c r="AH42" s="273"/>
      <c r="AI42" s="2" t="str">
        <f ca="1">IF(H115=1,"",IF(AND(AV104=1,AW104=0),"cm",""))</f>
        <v>cm</v>
      </c>
      <c r="AJ42" s="273" t="str">
        <f ca="1">IF(H115=1,"",IF(OR(X42="",AJ34=""),"",IF(F12=BO133,AM108,IF(F12=BO134,AM105,AM95))))</f>
        <v/>
      </c>
      <c r="AK42" s="273"/>
      <c r="AL42" s="4" t="str">
        <f ca="1">IF(H115=1,"",IF(AW104=1,"cm",""))</f>
        <v/>
      </c>
      <c r="AO42" s="249"/>
      <c r="AP42" s="273">
        <f ca="1">IF(H115=1,"",IF(OR(X42="",AD34=""),"",IF(OR(F16=BO142,F16=BO144,F14=BO136),IF(F12=BO133,AK108+AK107,IF(F12=BO134,AK105+AK97+AK106,AK95+AK87+AK96)),IF(F12=BO133,AI108+AI107,IF(F12=BO134,AI105+AI97+AI106,AI95+AI87+AI96)))))</f>
        <v>9</v>
      </c>
      <c r="AQ42" s="273"/>
      <c r="AR42" s="249" t="str">
        <f ca="1">IF(H115=1,"",IF(AND(AU104=1,AV104=0),"cm",""))</f>
        <v/>
      </c>
      <c r="AS42" s="273">
        <f ca="1">IF(H115=1,"",IF(OR(X42="",AG34=""),"",IF(OR(F16=BO141,F16=BO143,F16=BO145,F16=BO146,F16=BO147,F16=BO148),IF(F12=BO133,AK108+AK107,IF(F12=BO134,AK105+AK97+AK106,AK95+AK87+AK96)),IF(F12=BO133,AM108+AM107,IF(F12=BO134,AM105+AM97+AM106,AM95+AM87+AM96)))))</f>
        <v>9</v>
      </c>
      <c r="AT42" s="273"/>
      <c r="AU42" s="249" t="str">
        <f ca="1">IF(H115=1,"",IF(AND(AV104=1,AW104=0),"cm",""))</f>
        <v>cm</v>
      </c>
      <c r="AV42" s="273" t="str">
        <f ca="1">IF(H115=1,"",IF(OR(X42="",AJ34=""),"",IF(F12=BO133,AM108+AM107,IF(F12=BO134,AM105+AM97+AM106,AM95+AM87+AM96))))</f>
        <v/>
      </c>
      <c r="AW42" s="273"/>
      <c r="AX42" s="249" t="str">
        <f ca="1">IF(H115=1,"",IF(AW104=1,"cm",""))</f>
        <v/>
      </c>
    </row>
    <row r="43" spans="1:50" s="4" customFormat="1" x14ac:dyDescent="0.25">
      <c r="A43" s="284"/>
      <c r="B43" s="319" t="str">
        <f ca="1">IF($A$2="","",IF(J159=1,IF(J116=1,"",$BO$101),""))</f>
        <v/>
      </c>
      <c r="C43" s="319"/>
      <c r="D43" s="319"/>
      <c r="E43" s="320"/>
      <c r="F43" s="290"/>
      <c r="G43" s="291"/>
      <c r="H43" s="291"/>
      <c r="I43" s="291"/>
      <c r="J43" s="292"/>
      <c r="K43" s="293"/>
      <c r="L43" s="294"/>
      <c r="M43" s="295"/>
      <c r="N43" s="295"/>
      <c r="O43" s="295"/>
      <c r="P43" s="295"/>
      <c r="Q43" s="295"/>
      <c r="R43" s="295"/>
      <c r="S43" s="295"/>
      <c r="T43" s="295"/>
      <c r="W43" s="249"/>
      <c r="AF43" s="4" t="str">
        <f ca="1">IF(H115=1,"",IF(AND(AU104=1,AU105=0,AV104=0),"+",""))</f>
        <v/>
      </c>
      <c r="AI43" s="4" t="str">
        <f ca="1">IF(H115=1,"",IF(AND(AV104=1,AV105=0,AW104=0),"+",""))</f>
        <v>+</v>
      </c>
      <c r="AL43" s="4" t="str">
        <f ca="1">IF(H115=1,"",IF(AND(AW104=1,AW105=0),"+",""))</f>
        <v/>
      </c>
      <c r="AO43" s="249"/>
      <c r="AP43" s="526" t="str">
        <f ca="1">IF(AP42="","","▼")</f>
        <v>▼</v>
      </c>
      <c r="AQ43" s="526"/>
      <c r="AR43" s="249" t="str">
        <f ca="1">IF(H115=1,"",IF(AND(AU104=1,AU105=0,AV104=0),"+",""))</f>
        <v/>
      </c>
      <c r="AS43" s="526" t="str">
        <f ca="1">IF(AS42="","","▼")</f>
        <v>▼</v>
      </c>
      <c r="AT43" s="526"/>
      <c r="AU43" s="249" t="str">
        <f ca="1">IF(H115=1,"",IF(AND(AV104=1,AV105=0,AW104=0),"+",""))</f>
        <v>+</v>
      </c>
      <c r="AV43" s="526" t="str">
        <f ca="1">IF(AV42="","","▼")</f>
        <v/>
      </c>
      <c r="AW43" s="526"/>
      <c r="AX43" s="249" t="str">
        <f ca="1">IF(H115=1,"",IF(AND(AW104=1,AW105=0),"+",""))</f>
        <v/>
      </c>
    </row>
    <row r="44" spans="1:50" s="4" customFormat="1" x14ac:dyDescent="0.25">
      <c r="A44" s="279" t="str">
        <f ca="1">IF(B44="","","C")</f>
        <v/>
      </c>
      <c r="B44" s="281" t="str">
        <f ca="1">IF($A$2="","",IF(J159=1,IF(J118=1,"",$BO$102),""))</f>
        <v/>
      </c>
      <c r="C44" s="281"/>
      <c r="D44" s="281"/>
      <c r="E44" s="282"/>
      <c r="F44" s="287"/>
      <c r="G44" s="288"/>
      <c r="H44" s="288"/>
      <c r="I44" s="288"/>
      <c r="J44" s="289"/>
      <c r="K44" s="293" t="str">
        <f ca="1">IF(A2="","",IF(H168+H169+H170+H171&gt;=1,"!",""))</f>
        <v/>
      </c>
      <c r="L44" s="294"/>
      <c r="M44" s="295" t="str">
        <f ca="1">IF(H168=1,BO104,IF(H169=1,BO106,IF(H170=1,BO107,IF(H171=1,BO108,""))))</f>
        <v/>
      </c>
      <c r="N44" s="295"/>
      <c r="O44" s="295"/>
      <c r="P44" s="295"/>
      <c r="Q44" s="295"/>
      <c r="R44" s="295"/>
      <c r="S44" s="295"/>
      <c r="T44" s="295"/>
      <c r="W44" s="1" t="str">
        <f ca="1">IF(X39="","",IF(F12=BO133,"E",IF(F12=BO134,"C2","C4")))</f>
        <v>E</v>
      </c>
      <c r="X44" s="278" t="str">
        <f ca="1">IF(H115=1,"",IF(F12=BO133,BO121,BO119))</f>
        <v>Minimal space Pelmet</v>
      </c>
      <c r="Y44" s="278"/>
      <c r="Z44" s="278"/>
      <c r="AA44" s="278"/>
      <c r="AB44" s="278"/>
      <c r="AC44" s="278"/>
      <c r="AD44" s="273">
        <f ca="1">IF(H115=1,"",IF(OR(X44="",AD34=""),"",IF(OR(F16=BO142,F16=BO144,F14=BO136),IF(F12=BO133,AK110,IF(F12=BO134,AK106,AK96)),IF(F12=BO133,AI110,IF(F12=BO134,AI106,AI96)))))</f>
        <v>21.6</v>
      </c>
      <c r="AE44" s="273"/>
      <c r="AF44" s="2" t="str">
        <f ca="1">IF(H115=1,"",IF(AND(AU104=1,AV104=0),"cm",""))</f>
        <v/>
      </c>
      <c r="AG44" s="273">
        <f ca="1">IF(H115=1,"",IF(OR(X44="",AG34=""),"",IF(OR(F16=BO141,F16=BO143,F16=BO145,F16=BO146,F16=BO147,F16=BO148),IF(F12=BO133,AK110,IF(F12=BO134,AK106,AK96)),IF(F12=BO133,AM110,IF(F12=BO134,AM106,AM96)))))</f>
        <v>21.6</v>
      </c>
      <c r="AH44" s="273"/>
      <c r="AI44" s="2" t="str">
        <f ca="1">IF(H115=1,"",IF(AND(AV104=1,AW104=0),"cm",""))</f>
        <v>cm</v>
      </c>
      <c r="AJ44" s="273" t="str">
        <f ca="1">IF(H115=1,"",IF(OR(X44="",AJ34=""),"",IF(F12=BO133,AM110,IF(F12=BO134,AM106,AM96))))</f>
        <v/>
      </c>
      <c r="AK44" s="273"/>
      <c r="AL44" s="4" t="str">
        <f ca="1">IF(H115=1,"",IF(AW104=1,"cm",""))</f>
        <v/>
      </c>
      <c r="AO44" s="528" t="str">
        <f ca="1">IF(H115=1,"",IF(F12=BO133,"E",IF(F12=BO134,"&gt;1&lt;","&gt;2&lt;")))</f>
        <v>E</v>
      </c>
      <c r="AP44" s="273">
        <f ca="1">IF(H115=1,"",IF(AND(AU104=1,AU105=0),IF(OR(F16=BO142,F16=BO144,F14=BO136),AK110,AI110),""))</f>
        <v>21.6</v>
      </c>
      <c r="AQ44" s="273"/>
      <c r="AR44" s="273" t="str">
        <f ca="1">IF(H115=1,"",IF(AND(AU104=1,AV104=0),"cm",""))</f>
        <v/>
      </c>
      <c r="AS44" s="273">
        <f ca="1">IF(H115=1,"",IF(AND(AV104=1,AV105=0),AK110,""))</f>
        <v>21.6</v>
      </c>
      <c r="AT44" s="273"/>
      <c r="AU44" s="273" t="str">
        <f ca="1">IF(H115=1,"",IF(AND(AV104=1,AW104=0),"cm",""))</f>
        <v>cm</v>
      </c>
      <c r="AV44" s="273" t="str">
        <f ca="1">IF(H115=1,"",IF(AND(AW104=1,AW105=0),IF(F12=BO134,"",AM110),""))</f>
        <v/>
      </c>
      <c r="AW44" s="273"/>
      <c r="AX44" s="273" t="str">
        <f ca="1">IF(H115=1,"",IF(AND(AW104=1,AW105=0),"cm",""))</f>
        <v/>
      </c>
    </row>
    <row r="45" spans="1:50" ht="15.75" thickBot="1" x14ac:dyDescent="0.3">
      <c r="A45" s="280"/>
      <c r="B45" s="285" t="str">
        <f ca="1">IF($A$2="","",IF(J159=1,IF(J118=1,"",$BO$103),""))</f>
        <v/>
      </c>
      <c r="C45" s="285"/>
      <c r="D45" s="285"/>
      <c r="E45" s="286"/>
      <c r="F45" s="308"/>
      <c r="G45" s="309"/>
      <c r="H45" s="309"/>
      <c r="I45" s="309"/>
      <c r="J45" s="310"/>
      <c r="K45" s="293"/>
      <c r="L45" s="294"/>
      <c r="M45" s="295"/>
      <c r="N45" s="295"/>
      <c r="O45" s="295"/>
      <c r="P45" s="295"/>
      <c r="Q45" s="295"/>
      <c r="R45" s="295"/>
      <c r="S45" s="295"/>
      <c r="T45" s="295"/>
      <c r="W45" s="1" t="str">
        <f ca="1">IF(X45="","",IF(F12=BO134,"C1","C3"))</f>
        <v/>
      </c>
      <c r="X45" s="278" t="str">
        <f ca="1">IF(H115=1,"",IF(OR( F12=BO134, F12=BO135),BO120,""))</f>
        <v/>
      </c>
      <c r="Y45" s="278"/>
      <c r="Z45" s="278"/>
      <c r="AA45" s="278"/>
      <c r="AB45" s="278"/>
      <c r="AC45" s="278"/>
      <c r="AD45" s="273" t="str">
        <f ca="1">IF(H115=1,"",IF(OR(X45="",AD34=""),"",IF(OR(F16=BO142,F16=BO144,F14=BO136),IF(F12=BO133,"",IF(F12=BO134,AK107,AK97)),IF(F12=BO133,"",IF(F12=BO134,AI107,AI97)))))</f>
        <v/>
      </c>
      <c r="AE45" s="273"/>
      <c r="AF45" s="2" t="str">
        <f ca="1">IF(H115=1,"",IF(AND(AU105=1,AV105=0),"cm",""))</f>
        <v/>
      </c>
      <c r="AG45" s="273" t="str">
        <f ca="1">IF(H115=1,"",IF(OR(X45="",AG34=""),"",IF(F12=BO134,AK107,AK97)))</f>
        <v/>
      </c>
      <c r="AH45" s="273"/>
      <c r="AI45" s="2" t="str">
        <f ca="1">IF(H115=1,"",IF(AND(AV105=1,AW105=0),"cm",""))</f>
        <v/>
      </c>
      <c r="AJ45" s="273" t="str">
        <f ca="1">IF(H115=1,"",IF(OR(X45="",AJ34=""),"",IF(F12=BO134,AM107,AM97)))</f>
        <v/>
      </c>
      <c r="AK45" s="273"/>
      <c r="AL45" s="4" t="str">
        <f ca="1">IF(H115=1,"",IF(AW105=1,"cm",""))</f>
        <v/>
      </c>
      <c r="AO45" s="528"/>
      <c r="AP45" s="273"/>
      <c r="AQ45" s="273"/>
      <c r="AR45" s="273"/>
      <c r="AS45" s="273"/>
      <c r="AT45" s="273"/>
      <c r="AU45" s="273"/>
      <c r="AV45" s="273"/>
      <c r="AW45" s="273"/>
      <c r="AX45" s="273"/>
    </row>
    <row r="46" spans="1:50" x14ac:dyDescent="0.25">
      <c r="W46" s="1"/>
      <c r="AO46" s="249"/>
      <c r="AP46" s="526" t="str">
        <f ca="1">IF(AP47="","","▲")</f>
        <v/>
      </c>
      <c r="AQ46" s="526"/>
      <c r="AR46" s="249"/>
      <c r="AS46" s="526" t="str">
        <f ca="1">IF(AS47="","","▲")</f>
        <v/>
      </c>
      <c r="AT46" s="526"/>
      <c r="AU46" s="249"/>
      <c r="AV46" s="526" t="str">
        <f ca="1">IF(AV47="","","▲")</f>
        <v/>
      </c>
      <c r="AW46" s="526"/>
      <c r="AX46" s="249"/>
    </row>
    <row r="47" spans="1:50" x14ac:dyDescent="0.25">
      <c r="A47" s="296" t="str">
        <f ca="1">IF(B47="","","&gt;3&lt;")</f>
        <v/>
      </c>
      <c r="B47" s="511" t="str">
        <f ca="1">IF(A2="","",IF(J173=1,BO95,""))</f>
        <v/>
      </c>
      <c r="C47" s="511"/>
      <c r="D47" s="511"/>
      <c r="E47" s="511"/>
      <c r="F47" s="511"/>
      <c r="G47" s="511"/>
      <c r="H47" s="511"/>
      <c r="I47" s="511"/>
      <c r="J47" s="511"/>
      <c r="K47" s="4"/>
      <c r="L47" s="4"/>
      <c r="M47" s="4"/>
      <c r="N47" s="4"/>
      <c r="O47" s="4"/>
      <c r="P47" s="4"/>
      <c r="Q47" s="4"/>
      <c r="R47" s="4"/>
      <c r="S47" s="4"/>
      <c r="T47" s="4"/>
      <c r="W47" s="1" t="str">
        <f ca="1">IF(X47="","",IF(F12=BO134,"D1","D2"))</f>
        <v/>
      </c>
      <c r="X47" s="278" t="str">
        <f ca="1">IF(H115=1,"",IF(F12=BO133,"",IF(F12=BO134,BO118,BO117)))</f>
        <v/>
      </c>
      <c r="Y47" s="278"/>
      <c r="Z47" s="278"/>
      <c r="AA47" s="278"/>
      <c r="AB47" s="278"/>
      <c r="AC47" s="278"/>
      <c r="AD47" s="273" t="str">
        <f ca="1">IF(H115=1,"",IF(OR(X47="",AD34=""),"",IF(OR(F16=BO142,F16=BO144,F14=BO136),IF(F12=BO133,"",IF(F12=BO134,AK108,AK105)),IF(F12=BO133,"",IF(F12=BO134,AI108,AI105)))))</f>
        <v/>
      </c>
      <c r="AE47" s="273"/>
      <c r="AF47" s="2" t="str">
        <f ca="1">IF(H115=1,"",IF(AND(AU105=1,AV105=0),"cm",""))</f>
        <v/>
      </c>
      <c r="AG47" s="273" t="str">
        <f ca="1">IF(H115=1,"",IF(OR(X47="",AG34=""),"",IF(F12=BO134,AK108,AK105)))</f>
        <v/>
      </c>
      <c r="AH47" s="273"/>
      <c r="AI47" s="2" t="str">
        <f ca="1">IF(H115=1,"",IF(AND(AV105=1,AW105=0),"cm",""))</f>
        <v/>
      </c>
      <c r="AJ47" s="273" t="str">
        <f ca="1">IF(H115=1,"",IF(OR(X47="",AJ34=""),"",IF(F12=BO134,AM108,AM105)))</f>
        <v/>
      </c>
      <c r="AK47" s="273"/>
      <c r="AL47" s="4" t="str">
        <f ca="1">IF(H115=1,"",IF(AW105=1,"cm",""))</f>
        <v/>
      </c>
      <c r="AO47" s="249"/>
      <c r="AP47" s="273" t="str">
        <f ca="1">IF(H115=1,"",IF(OR(X47="",AD34=""),"",IF(OR(F16=BO142,F16=BO144,F14=BO136),IF(F12=BO133,"",IF(F12=BO134,AK108+AK107,AK105+AK97+AK106)),IF(F12=BO133,"",IF(F12=BO134,AI108+AI107,AI105+AI97+AI106)))))</f>
        <v/>
      </c>
      <c r="AQ47" s="273"/>
      <c r="AR47" s="249" t="str">
        <f ca="1">IF(H115=1,"",IF(AND(AU105=1,AV105=0),"cm",""))</f>
        <v/>
      </c>
      <c r="AS47" s="273" t="str">
        <f ca="1">IF(H115=1,"",IF(OR(X47="",AG34=""),"",IF(F12=BO134,AK108+AK107,AK105+AK97+AK106)))</f>
        <v/>
      </c>
      <c r="AT47" s="273"/>
      <c r="AU47" s="249" t="str">
        <f ca="1">IF(H115=1,"",IF(AND(AV105=1,AW105=0),"cm",""))</f>
        <v/>
      </c>
      <c r="AV47" s="273" t="str">
        <f ca="1">IF(H115=1,"",IF(OR(X47="",AJ34=""),"",IF(F12=BO134,AM108+AM107,AM105+AM97+AM106)))</f>
        <v/>
      </c>
      <c r="AW47" s="273"/>
      <c r="AX47" s="249" t="str">
        <f ca="1">IF(H115=1,"",IF(AW105=1,"cm",""))</f>
        <v/>
      </c>
    </row>
    <row r="48" spans="1:50" ht="15" customHeight="1" thickBot="1" x14ac:dyDescent="0.3">
      <c r="A48" s="297"/>
      <c r="B48" s="512"/>
      <c r="C48" s="512"/>
      <c r="D48" s="512"/>
      <c r="E48" s="512"/>
      <c r="F48" s="512"/>
      <c r="G48" s="512"/>
      <c r="H48" s="512"/>
      <c r="I48" s="512"/>
      <c r="J48" s="512"/>
      <c r="K48" s="4"/>
      <c r="L48" s="4"/>
      <c r="M48" s="4"/>
      <c r="N48" s="4"/>
      <c r="O48" s="4"/>
      <c r="P48" s="4"/>
      <c r="Q48" s="4"/>
      <c r="R48" s="4"/>
      <c r="S48" s="4"/>
      <c r="T48" s="4"/>
      <c r="W48" s="1"/>
      <c r="AF48" s="2" t="str">
        <f ca="1">IF(H115=1,"",IF(AND(AU105=1,AV105=0,AU106=0),"+",""))</f>
        <v/>
      </c>
      <c r="AI48" s="2" t="str">
        <f ca="1">IF(H115=1,"",IF(AND(AV105=1,AV106=0,AW105=0),"+",""))</f>
        <v/>
      </c>
      <c r="AL48" s="2" t="str">
        <f ca="1">IF(H115=1,"",IF(AND(AW105=1,AW106=0),"+",""))</f>
        <v/>
      </c>
      <c r="AO48" s="249"/>
      <c r="AP48" s="526" t="str">
        <f ca="1">IF(AP47="","","▼")</f>
        <v/>
      </c>
      <c r="AQ48" s="526"/>
      <c r="AR48" s="249" t="str">
        <f ca="1">IF(H115=1,"",IF(AND(AU105=1,AV105=0,AU106=0),"+",""))</f>
        <v/>
      </c>
      <c r="AS48" s="526" t="str">
        <f ca="1">IF(AS47="","","▼")</f>
        <v/>
      </c>
      <c r="AT48" s="526"/>
      <c r="AU48" s="249" t="str">
        <f ca="1">IF(H115=1,"",IF(AND(AV105=1,AV106=0,AW105=0),"+",""))</f>
        <v/>
      </c>
      <c r="AV48" s="526" t="str">
        <f ca="1">IF(AV47="","","▼")</f>
        <v/>
      </c>
      <c r="AW48" s="526"/>
      <c r="AX48" s="249" t="str">
        <f ca="1">IF(H115=1,"",IF(AND(AW105=1,AW106=0),"+",""))</f>
        <v/>
      </c>
    </row>
    <row r="49" spans="1:62" x14ac:dyDescent="0.25">
      <c r="A49" s="322"/>
      <c r="B49" s="301" t="str">
        <f ca="1">IF($A$2="","",IF(J173=1,$BO$96,""))</f>
        <v/>
      </c>
      <c r="C49" s="301"/>
      <c r="D49" s="301"/>
      <c r="E49" s="302"/>
      <c r="F49" s="323"/>
      <c r="G49" s="324"/>
      <c r="H49" s="324"/>
      <c r="I49" s="324"/>
      <c r="J49" s="325"/>
      <c r="K49" s="293" t="str">
        <f ca="1">IF(A2="","",IF(H174+H175+H176&gt;=1,"!",""))</f>
        <v/>
      </c>
      <c r="L49" s="294"/>
      <c r="M49" s="295" t="str">
        <f ca="1">IF(H174=1,BO104,IF(H175=1,BO109,IF(H176=1,BO105,"")))</f>
        <v/>
      </c>
      <c r="N49" s="295"/>
      <c r="O49" s="295"/>
      <c r="P49" s="295"/>
      <c r="Q49" s="295"/>
      <c r="R49" s="295"/>
      <c r="S49" s="295"/>
      <c r="T49" s="295"/>
      <c r="W49" s="1" t="str">
        <f ca="1">IF(X49="","",IF(F12=BO135,"C2","E"))</f>
        <v/>
      </c>
      <c r="X49" s="278" t="str">
        <f ca="1">IF(H115=1,"",IF(F12=BO133,"",IF(F12=BO134,BO121,BO119)))</f>
        <v/>
      </c>
      <c r="Y49" s="278"/>
      <c r="Z49" s="278"/>
      <c r="AA49" s="278"/>
      <c r="AB49" s="278"/>
      <c r="AC49" s="278"/>
      <c r="AD49" s="273" t="str">
        <f ca="1">IF(H115=1,"",IF(OR(X49="",AD34=""),"",IF(OR(F16=BO142,F16=BO144,F14=BO136),IF(F12=BO133,"",IF(F12=BO134,AK110,AK106)),IF(F12=BO133,"",IF(F12=BO134,AI110,AI106)))))</f>
        <v/>
      </c>
      <c r="AE49" s="273"/>
      <c r="AF49" s="2" t="str">
        <f ca="1">IF(H115=1,"",IF(AND(AU105=1,AV105=0),"cm",""))</f>
        <v/>
      </c>
      <c r="AG49" s="273" t="str">
        <f ca="1">IF(H115=1,"",IF(OR(X49="",AG34=""),"",IF(F12=BO134,AK110,AK106)))</f>
        <v/>
      </c>
      <c r="AH49" s="273"/>
      <c r="AI49" s="2" t="str">
        <f ca="1">IF(H115=1,"",IF(AND(AV105=1,AW105=0),"cm",""))</f>
        <v/>
      </c>
      <c r="AJ49" s="273" t="str">
        <f ca="1">IF(H115=1,"",IF(OR(X49="",AJ34=""),"",IF(F12=BO134,AM110,AM106)))</f>
        <v/>
      </c>
      <c r="AK49" s="273"/>
      <c r="AL49" s="4" t="str">
        <f ca="1">IF(H115=1,"",IF(AW105=1,"cm",""))</f>
        <v/>
      </c>
      <c r="AM49" s="4"/>
      <c r="AO49" s="528" t="str">
        <f ca="1">IF(H115=1,"",IF(F12=BO133,"",IF(F12=BO134,"E","&gt;1&lt;")))</f>
        <v/>
      </c>
      <c r="AP49" s="273" t="str">
        <f ca="1">IF(H115=1,"",IF(AND(AU105=1,AU106=0),IF(OR(F16=BO142,F16=BO144,F14=BO136),AK110,AI110),""))</f>
        <v/>
      </c>
      <c r="AQ49" s="273"/>
      <c r="AR49" s="273" t="str">
        <f ca="1">IF(H115=1,"",IF(AND(AU105=1,AV105=0),"cm",""))</f>
        <v/>
      </c>
      <c r="AS49" s="273" t="str">
        <f ca="1">IF(H115=1,"",IF(AND(AV105=1,AV106=0),AK110,""))</f>
        <v/>
      </c>
      <c r="AT49" s="273"/>
      <c r="AU49" s="273" t="str">
        <f ca="1">IF(H115=1,"",IF(AND(AV105=1,AW105=0),"cm",""))</f>
        <v/>
      </c>
      <c r="AV49" s="273" t="str">
        <f ca="1">IF(H115=1,"",IF(AND(AW105=1,AW106=0),IF(F12=BO134,AM110,""),""))</f>
        <v/>
      </c>
      <c r="AW49" s="273"/>
      <c r="AX49" s="273" t="str">
        <f ca="1">IF(H115=1,"",IF(AND(AW105=1,AW106=0),"cm",""))</f>
        <v/>
      </c>
    </row>
    <row r="50" spans="1:62" ht="15" customHeight="1" x14ac:dyDescent="0.25">
      <c r="A50" s="312"/>
      <c r="B50" s="303"/>
      <c r="C50" s="303"/>
      <c r="D50" s="303"/>
      <c r="E50" s="304"/>
      <c r="F50" s="326"/>
      <c r="G50" s="327"/>
      <c r="H50" s="327"/>
      <c r="I50" s="327"/>
      <c r="J50" s="328"/>
      <c r="K50" s="293"/>
      <c r="L50" s="294"/>
      <c r="M50" s="295"/>
      <c r="N50" s="295"/>
      <c r="O50" s="295"/>
      <c r="P50" s="295"/>
      <c r="Q50" s="295"/>
      <c r="R50" s="295"/>
      <c r="S50" s="295"/>
      <c r="T50" s="295"/>
      <c r="W50" s="1" t="str">
        <f ca="1">IF(X50="","","C1")</f>
        <v/>
      </c>
      <c r="X50" s="278" t="str">
        <f ca="1">IF(H115=1,"",IF(F12=BO135,BO120,""))</f>
        <v/>
      </c>
      <c r="Y50" s="278"/>
      <c r="Z50" s="278"/>
      <c r="AA50" s="278"/>
      <c r="AB50" s="278"/>
      <c r="AD50" s="273" t="str">
        <f ca="1">IF(H115=1,"",IF(OR(X50="",AD34=""),"",IF(OR(F16=BO142,F16=BO144,F16=BO136),IF(F12=BO133,"",IF(F12=BO134,"",AK107)),IF(F12=BO133,"",IF(F12=BO134,"",AI107)))))</f>
        <v/>
      </c>
      <c r="AE50" s="273"/>
      <c r="AF50" s="2" t="str">
        <f ca="1">IF(H115=1,"",IF(AND(AU106=1,AV106=0),"cm",""))</f>
        <v/>
      </c>
      <c r="AG50" s="273" t="str">
        <f ca="1">IF(H115=1,"",IF(OR(X50="",AG34=""),"",IF(F12=BO134,"",AK107)))</f>
        <v/>
      </c>
      <c r="AH50" s="273"/>
      <c r="AI50" s="2" t="str">
        <f ca="1">IF(H115=1,"",IF(AND(AV106=1,AW106=0),"cm",""))</f>
        <v/>
      </c>
      <c r="AJ50" s="273" t="str">
        <f ca="1">IF(H115=1,"",IF(OR(X50="",AJ34=""),"",IF(F12=BO134,"",AM107)))</f>
        <v/>
      </c>
      <c r="AK50" s="273"/>
      <c r="AL50" s="4" t="str">
        <f ca="1">IF(H115=1,"",IF(AW106=1,"cm",""))</f>
        <v/>
      </c>
      <c r="AO50" s="528"/>
      <c r="AP50" s="273"/>
      <c r="AQ50" s="273"/>
      <c r="AR50" s="273"/>
      <c r="AS50" s="273"/>
      <c r="AT50" s="273"/>
      <c r="AU50" s="273"/>
      <c r="AV50" s="273"/>
      <c r="AW50" s="273"/>
      <c r="AX50" s="273"/>
    </row>
    <row r="51" spans="1:62" x14ac:dyDescent="0.25">
      <c r="A51" s="311"/>
      <c r="B51" s="281" t="str">
        <f ca="1">IF($A$2="","",IF(J173=1,$BO$98,""))</f>
        <v/>
      </c>
      <c r="C51" s="281"/>
      <c r="D51" s="281"/>
      <c r="E51" s="282"/>
      <c r="F51" s="313"/>
      <c r="G51" s="314"/>
      <c r="H51" s="314"/>
      <c r="I51" s="314"/>
      <c r="J51" s="315"/>
      <c r="K51" s="293" t="str">
        <f ca="1">IF(A2="","",IF(H177+H178+H179&gt;=1,"!",""))</f>
        <v/>
      </c>
      <c r="L51" s="294"/>
      <c r="M51" s="295" t="str">
        <f ca="1">IF(H177=1,BO104,IF(H179=1,BO105,""))</f>
        <v/>
      </c>
      <c r="N51" s="295"/>
      <c r="O51" s="295"/>
      <c r="P51" s="295"/>
      <c r="Q51" s="295"/>
      <c r="R51" s="295"/>
      <c r="S51" s="295"/>
      <c r="T51" s="295"/>
      <c r="W51" s="1"/>
      <c r="AO51" s="249"/>
      <c r="AP51" s="526" t="str">
        <f ca="1">IF(AP52="","","▲")</f>
        <v/>
      </c>
      <c r="AQ51" s="526"/>
      <c r="AR51" s="249"/>
      <c r="AS51" s="526" t="str">
        <f ca="1">IF(AS52="","","▲")</f>
        <v/>
      </c>
      <c r="AT51" s="526"/>
      <c r="AU51" s="249"/>
      <c r="AV51" s="526" t="str">
        <f ca="1">IF(AV52="","","▲")</f>
        <v/>
      </c>
      <c r="AW51" s="526"/>
      <c r="AX51" s="249"/>
    </row>
    <row r="52" spans="1:62" x14ac:dyDescent="0.25">
      <c r="A52" s="312"/>
      <c r="B52" s="319" t="str">
        <f ca="1">IF($A$2="","",IF(J173=1,$BO$99,""))</f>
        <v/>
      </c>
      <c r="C52" s="319"/>
      <c r="D52" s="319"/>
      <c r="E52" s="320"/>
      <c r="F52" s="316"/>
      <c r="G52" s="317"/>
      <c r="H52" s="317"/>
      <c r="I52" s="317"/>
      <c r="J52" s="318"/>
      <c r="K52" s="293"/>
      <c r="L52" s="294"/>
      <c r="M52" s="295"/>
      <c r="N52" s="295"/>
      <c r="O52" s="295"/>
      <c r="P52" s="295"/>
      <c r="Q52" s="295"/>
      <c r="R52" s="295"/>
      <c r="S52" s="295"/>
      <c r="T52" s="295"/>
      <c r="W52" s="1" t="str">
        <f ca="1">IF(X52="","","D1")</f>
        <v/>
      </c>
      <c r="X52" s="278" t="str">
        <f ca="1">IF(H115=1,"",IF(F12=BO135,BO118,""))</f>
        <v/>
      </c>
      <c r="Y52" s="278"/>
      <c r="Z52" s="278"/>
      <c r="AA52" s="278"/>
      <c r="AB52" s="278"/>
      <c r="AC52" s="278"/>
      <c r="AD52" s="273" t="str">
        <f ca="1">IF(H115=1,"",IF(OR(X52="",AD34=""),"",IF(OR(F16=BO142,F16=BO144,F16=BO136),IF(F12=BO133,"",IF(F12=BO134,"",AK108)),IF(F12=BO133,"",IF(F12=BO134,"",AI108)))))</f>
        <v/>
      </c>
      <c r="AE52" s="273"/>
      <c r="AF52" s="2" t="str">
        <f ca="1">IF(H115=1,"",IF(AND(AU106=1,AV106=0),"cm",""))</f>
        <v/>
      </c>
      <c r="AG52" s="273" t="str">
        <f ca="1">IF(H115=1,"",IF(OR(X52="",AG34=""),"",IF(F12=BO134,"",AK108)))</f>
        <v/>
      </c>
      <c r="AH52" s="273"/>
      <c r="AI52" s="2" t="str">
        <f ca="1">IF(H115=1,"",IF(AND(AV106=1,AW106=0),"cm",""))</f>
        <v/>
      </c>
      <c r="AJ52" s="273" t="str">
        <f ca="1">IF(H115=1,"",IF(OR(X52="",AJ34=""),"",IF(F12=BO134,"",AM108)))</f>
        <v/>
      </c>
      <c r="AK52" s="273"/>
      <c r="AL52" s="4" t="str">
        <f ca="1">IF(H115=1,"",IF(AW106=1,"cm",""))</f>
        <v/>
      </c>
      <c r="AO52" s="249"/>
      <c r="AP52" s="273" t="str">
        <f ca="1">IF(H115=1,"",IF(OR(X52="",AD34=""),"",IF(OR(F16=BO142,F16=BO144,F16=BO136),IF(F12=BO133,"",IF(F12=BO134,"",AK108+AK107)),IF(F12=BO133,"",IF(F12=BO134,"",AI108+AI107)))))</f>
        <v/>
      </c>
      <c r="AQ52" s="273"/>
      <c r="AR52" s="249" t="str">
        <f ca="1">IF(H115=1,"",IF(AND(AU106=1,AV106=0),"cm",""))</f>
        <v/>
      </c>
      <c r="AS52" s="273" t="str">
        <f ca="1">IF(H115=1,"",IF(OR(X52="",AG34=""),"",IF(F12=BO134,"",AK108+AK107)))</f>
        <v/>
      </c>
      <c r="AT52" s="273"/>
      <c r="AU52" s="249" t="str">
        <f ca="1">IF(H115=1,"",IF(AND(AV106=1,AW106=0),"cm",""))</f>
        <v/>
      </c>
      <c r="AV52" s="273" t="str">
        <f ca="1">IF(H115=1,"",IF(OR(X52="",AJ34=""),"",IF(F12=BO134,"",AM108+AM107)))</f>
        <v/>
      </c>
      <c r="AW52" s="273"/>
      <c r="AX52" s="249" t="str">
        <f ca="1">IF(H115=1,"",IF(AW106=1,"cm",""))</f>
        <v/>
      </c>
    </row>
    <row r="53" spans="1:62" x14ac:dyDescent="0.25">
      <c r="A53" s="283" t="str">
        <f ca="1">IF(B53="","","B3")</f>
        <v/>
      </c>
      <c r="B53" s="281" t="str">
        <f ca="1">IF($A$2="","",IF(J173=1,IF(J116=1,"",$BO$100),""))</f>
        <v/>
      </c>
      <c r="C53" s="281"/>
      <c r="D53" s="281"/>
      <c r="E53" s="282"/>
      <c r="F53" s="363"/>
      <c r="G53" s="364"/>
      <c r="H53" s="364"/>
      <c r="I53" s="364"/>
      <c r="J53" s="365"/>
      <c r="K53" s="293" t="str">
        <f ca="1">IF(A2="","",IF(H180+H181&gt;=1,"!",""))</f>
        <v/>
      </c>
      <c r="L53" s="294"/>
      <c r="M53" s="295" t="str">
        <f ca="1">IF(H180=1,BO104,IF(H181=1,BO109,""))</f>
        <v/>
      </c>
      <c r="N53" s="295"/>
      <c r="O53" s="295"/>
      <c r="P53" s="295"/>
      <c r="Q53" s="295"/>
      <c r="R53" s="295"/>
      <c r="S53" s="295"/>
      <c r="T53" s="295"/>
      <c r="W53" s="1"/>
      <c r="AF53" s="2" t="str">
        <f ca="1">IF(H115=1,"",IF(AND(AU106=1,AV106=0),"+",""))</f>
        <v/>
      </c>
      <c r="AI53" s="2" t="str">
        <f ca="1">IF(H115=1,"",IF(AND(AV106=1,AW106=0),"+",""))</f>
        <v/>
      </c>
      <c r="AL53" s="2" t="str">
        <f ca="1">IF(H115=1,"",IF(AW106=1,"+",""))</f>
        <v/>
      </c>
      <c r="AO53" s="249"/>
      <c r="AP53" s="526" t="str">
        <f ca="1">IF(AP52="","","▼")</f>
        <v/>
      </c>
      <c r="AQ53" s="526"/>
      <c r="AR53" s="249" t="str">
        <f ca="1">IF(H115=1,"",IF(AND(AU106=1,AV106=0),"+",""))</f>
        <v/>
      </c>
      <c r="AS53" s="526" t="str">
        <f ca="1">IF(AS52="","","▼")</f>
        <v/>
      </c>
      <c r="AT53" s="526"/>
      <c r="AU53" s="249" t="str">
        <f ca="1">IF(H115=1,"",IF(AND(AV106=1,AW106=0),"+",""))</f>
        <v/>
      </c>
      <c r="AV53" s="526" t="str">
        <f ca="1">IF(AV52="","","▼")</f>
        <v/>
      </c>
      <c r="AW53" s="526"/>
      <c r="AX53" s="249" t="str">
        <f ca="1">IF(H115=1,"",IF(AW106=1,"+",""))</f>
        <v/>
      </c>
    </row>
    <row r="54" spans="1:62" x14ac:dyDescent="0.25">
      <c r="A54" s="284"/>
      <c r="B54" s="319" t="str">
        <f ca="1">IF($A$2="","",IF(J173=1,IF(J116=1,"",$BO$101),""))</f>
        <v/>
      </c>
      <c r="C54" s="319"/>
      <c r="D54" s="319"/>
      <c r="E54" s="320"/>
      <c r="F54" s="366"/>
      <c r="G54" s="367"/>
      <c r="H54" s="367"/>
      <c r="I54" s="367"/>
      <c r="J54" s="368"/>
      <c r="K54" s="293"/>
      <c r="L54" s="294"/>
      <c r="M54" s="295"/>
      <c r="N54" s="295"/>
      <c r="O54" s="295"/>
      <c r="P54" s="295"/>
      <c r="Q54" s="295"/>
      <c r="R54" s="295"/>
      <c r="S54" s="295"/>
      <c r="T54" s="295"/>
      <c r="W54" s="1" t="str">
        <f ca="1">IF(X54="","","E")</f>
        <v/>
      </c>
      <c r="X54" s="278" t="str">
        <f ca="1">IF(H115=1,"",IF(F12=BO135,BO121,""))</f>
        <v/>
      </c>
      <c r="Y54" s="278"/>
      <c r="Z54" s="278"/>
      <c r="AA54" s="278"/>
      <c r="AB54" s="278"/>
      <c r="AC54" s="278"/>
      <c r="AD54" s="273" t="str">
        <f ca="1">IF(H115=1,"",IF(OR(X54="",AD34=""),"",IF(OR(F16=BO142,F16=BO144,F14=BO136),IF(F12=BO133,"",IF(F12=BO134,"",AK110)),IF(F12=BO133,"",IF(F12=BO134,"",AI110)))))</f>
        <v/>
      </c>
      <c r="AE54" s="273"/>
      <c r="AF54" s="2" t="str">
        <f ca="1">IF(H115=1,"",IF(AND(AU106=1,AV106=0),"cm",""))</f>
        <v/>
      </c>
      <c r="AG54" s="273" t="str">
        <f ca="1">IF(H115=1,"",IF(OR(X54="",AG34=""),"",IF(F12=BO134,"",AK110)))</f>
        <v/>
      </c>
      <c r="AH54" s="273"/>
      <c r="AI54" s="2" t="str">
        <f ca="1">IF(H115=1,"",IF(AND(AV106=1,AW106=0),"cm",""))</f>
        <v/>
      </c>
      <c r="AJ54" s="273" t="str">
        <f ca="1">IF(H115=1,"",IF(OR(X54="",AJ34=""),"",IF(F12=BO134,"",AM110)))</f>
        <v/>
      </c>
      <c r="AK54" s="273"/>
      <c r="AL54" s="4" t="str">
        <f ca="1">IF(H115=1,"",IF(AW106=1,"cm",""))</f>
        <v/>
      </c>
      <c r="AO54" s="528" t="str">
        <f ca="1">IF(H115=1,"",IF(F12=BO133,"",IF(F12=BO134,"","E")))</f>
        <v/>
      </c>
      <c r="AP54" s="273" t="str">
        <f ca="1">IF(H115=1,"",IF(OR(X54="",AD34=""),"",IF(OR(F16=BO142,F16=BO144,F14=BO136),IF(F12=BO133,"",IF(F12=BO134,"",AK110)),IF(F12=BO133,"",IF(F12=BO134,"",AI110)))))</f>
        <v/>
      </c>
      <c r="AQ54" s="273"/>
      <c r="AR54" s="273" t="str">
        <f ca="1">IF(H115=1,"",IF(AND(AU106=1,AV106=0),"cm",""))</f>
        <v/>
      </c>
      <c r="AS54" s="273" t="str">
        <f ca="1">IF(H115=1,"",IF(OR(X54="",AG34=""),"",IF(F12=BO134,"",AK110)))</f>
        <v/>
      </c>
      <c r="AT54" s="273"/>
      <c r="AU54" s="273" t="str">
        <f ca="1">IF(H115=1,"",IF(AND(AV106=1,AW106=0),"cm",""))</f>
        <v/>
      </c>
      <c r="AV54" s="273" t="str">
        <f ca="1">IF(H115=1,"",IF(OR(X54="",AJ34=""),"",IF(F12=BO134,"",AM110)))</f>
        <v/>
      </c>
      <c r="AW54" s="273"/>
      <c r="AX54" s="273" t="str">
        <f ca="1">IF(H115=1,"",IF(AW106=1,"cm",""))</f>
        <v/>
      </c>
    </row>
    <row r="55" spans="1:62" x14ac:dyDescent="0.25">
      <c r="A55" s="279" t="str">
        <f ca="1">IF(B55="","","C")</f>
        <v/>
      </c>
      <c r="B55" s="281" t="str">
        <f ca="1">IF($A$2="","",IF(J173=1,IF(J120=1,"",$BO$102),""))</f>
        <v/>
      </c>
      <c r="C55" s="281"/>
      <c r="D55" s="281"/>
      <c r="E55" s="282"/>
      <c r="F55" s="326"/>
      <c r="G55" s="327"/>
      <c r="H55" s="327"/>
      <c r="I55" s="327"/>
      <c r="J55" s="328"/>
      <c r="K55" s="293" t="str">
        <f ca="1">IF(A2="","",IF(H182+H183+H184+H185&gt;=1,"!",""))</f>
        <v/>
      </c>
      <c r="L55" s="294"/>
      <c r="M55" s="295" t="str">
        <f ca="1">IF(H182=1,BO104,IF(H183=1,BO106,IF(H184=1,BO107,IF(H185=1,BO108,""))))</f>
        <v/>
      </c>
      <c r="N55" s="295"/>
      <c r="O55" s="295"/>
      <c r="P55" s="295"/>
      <c r="Q55" s="295"/>
      <c r="R55" s="295"/>
      <c r="S55" s="295"/>
      <c r="T55" s="295"/>
      <c r="AO55" s="528"/>
      <c r="AP55" s="273"/>
      <c r="AQ55" s="273"/>
      <c r="AR55" s="273"/>
      <c r="AS55" s="273"/>
      <c r="AT55" s="273"/>
      <c r="AU55" s="273"/>
      <c r="AV55" s="273"/>
      <c r="AW55" s="273"/>
      <c r="AX55" s="273"/>
    </row>
    <row r="56" spans="1:62" ht="15.75" customHeight="1" thickBot="1" x14ac:dyDescent="0.3">
      <c r="A56" s="280"/>
      <c r="B56" s="285" t="str">
        <f ca="1">IF($A$2="","",IF(J173=1,IF(J120=1,"",$BO$103),""))</f>
        <v/>
      </c>
      <c r="C56" s="285"/>
      <c r="D56" s="285"/>
      <c r="E56" s="286"/>
      <c r="F56" s="338"/>
      <c r="G56" s="339"/>
      <c r="H56" s="339"/>
      <c r="I56" s="339"/>
      <c r="J56" s="340"/>
      <c r="K56" s="293"/>
      <c r="L56" s="294"/>
      <c r="M56" s="295"/>
      <c r="N56" s="295"/>
      <c r="O56" s="295"/>
      <c r="P56" s="295"/>
      <c r="Q56" s="295"/>
      <c r="R56" s="295"/>
      <c r="S56" s="295"/>
      <c r="T56" s="295"/>
    </row>
    <row r="57" spans="1:62" x14ac:dyDescent="0.25">
      <c r="H57" s="2"/>
    </row>
    <row r="58" spans="1:62" x14ac:dyDescent="0.25">
      <c r="A58" s="348" t="str">
        <f ca="1">BO154</f>
        <v>* = Distance measured from the center of the rail.</v>
      </c>
      <c r="B58" s="349"/>
      <c r="C58" s="349"/>
      <c r="D58" s="349"/>
      <c r="E58" s="349"/>
      <c r="F58" s="349"/>
      <c r="G58" s="349"/>
      <c r="H58" s="349"/>
      <c r="I58" s="349"/>
      <c r="J58" s="349"/>
      <c r="K58" s="349"/>
      <c r="L58" s="349"/>
      <c r="M58" s="349"/>
      <c r="N58" s="349"/>
      <c r="O58" s="349"/>
      <c r="P58" s="349"/>
      <c r="Q58" s="349"/>
    </row>
    <row r="59" spans="1:62" x14ac:dyDescent="0.25">
      <c r="A59" s="348" t="str">
        <f ca="1">BO155</f>
        <v>- No rights can be derived from this calculation tool.</v>
      </c>
      <c r="B59" s="349"/>
      <c r="C59" s="349"/>
      <c r="D59" s="349"/>
      <c r="E59" s="349"/>
      <c r="F59" s="349"/>
      <c r="G59" s="349"/>
      <c r="H59" s="349"/>
      <c r="I59" s="349"/>
      <c r="J59" s="349"/>
      <c r="K59" s="349"/>
      <c r="L59" s="349"/>
      <c r="M59" s="349"/>
      <c r="N59" s="349"/>
      <c r="O59" s="349"/>
      <c r="P59" s="349"/>
      <c r="Q59" s="349"/>
    </row>
    <row r="60" spans="1:62" x14ac:dyDescent="0.25">
      <c r="A60" s="348" t="str">
        <f ca="1">IF(AX126+AM126&gt;0,BO156,"")</f>
        <v/>
      </c>
      <c r="B60" s="349"/>
      <c r="C60" s="349"/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49"/>
      <c r="O60" s="349"/>
      <c r="P60" s="349"/>
      <c r="Q60" s="349"/>
    </row>
    <row r="61" spans="1:62" s="3" customForma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1:62" s="3" customFormat="1" hidden="1" x14ac:dyDescent="0.25">
      <c r="H62" s="6"/>
    </row>
    <row r="63" spans="1:62" s="3" customFormat="1" ht="15" hidden="1" customHeight="1" x14ac:dyDescent="0.25">
      <c r="A63" s="8" t="s">
        <v>24</v>
      </c>
      <c r="G63" s="350" t="s">
        <v>26</v>
      </c>
      <c r="H63" s="388"/>
      <c r="I63" s="388"/>
      <c r="J63" s="352"/>
      <c r="K63" s="517" t="s">
        <v>173</v>
      </c>
      <c r="L63" s="9"/>
      <c r="M63" s="350" t="s">
        <v>140</v>
      </c>
      <c r="N63" s="351"/>
      <c r="O63" s="344" t="s">
        <v>231</v>
      </c>
      <c r="P63" s="346" t="s">
        <v>133</v>
      </c>
      <c r="Q63" s="346" t="s">
        <v>134</v>
      </c>
      <c r="R63" s="383" t="s">
        <v>135</v>
      </c>
      <c r="S63" s="350" t="s">
        <v>132</v>
      </c>
      <c r="T63" s="352"/>
      <c r="Y63" s="9"/>
      <c r="Z63" s="9"/>
    </row>
    <row r="64" spans="1:62" s="3" customFormat="1" hidden="1" x14ac:dyDescent="0.25">
      <c r="G64" s="350"/>
      <c r="H64" s="388"/>
      <c r="I64" s="388"/>
      <c r="J64" s="352"/>
      <c r="K64" s="517"/>
      <c r="L64" s="9"/>
      <c r="M64" s="350"/>
      <c r="N64" s="351"/>
      <c r="O64" s="344"/>
      <c r="P64" s="346"/>
      <c r="Q64" s="346"/>
      <c r="R64" s="383"/>
      <c r="S64" s="350"/>
      <c r="T64" s="352"/>
      <c r="Y64" s="9"/>
      <c r="Z64" s="9"/>
      <c r="BE64" s="5"/>
      <c r="BF64" s="5"/>
    </row>
    <row r="65" spans="1:71" s="3" customFormat="1" hidden="1" x14ac:dyDescent="0.25">
      <c r="G65" s="350"/>
      <c r="H65" s="388"/>
      <c r="I65" s="388"/>
      <c r="J65" s="352"/>
      <c r="K65" s="517"/>
      <c r="L65" s="9"/>
      <c r="M65" s="350"/>
      <c r="N65" s="351"/>
      <c r="O65" s="344"/>
      <c r="P65" s="346"/>
      <c r="Q65" s="346"/>
      <c r="R65" s="383"/>
      <c r="S65" s="350"/>
      <c r="T65" s="352"/>
      <c r="Y65" s="9"/>
      <c r="Z65" s="9"/>
      <c r="BE65" s="5"/>
      <c r="BF65" s="5"/>
    </row>
    <row r="66" spans="1:71" s="3" customFormat="1" hidden="1" x14ac:dyDescent="0.25">
      <c r="G66" s="350"/>
      <c r="H66" s="388"/>
      <c r="I66" s="388"/>
      <c r="J66" s="352"/>
      <c r="K66" s="517"/>
      <c r="L66" s="9"/>
      <c r="M66" s="350"/>
      <c r="N66" s="351"/>
      <c r="O66" s="344"/>
      <c r="P66" s="346"/>
      <c r="Q66" s="346"/>
      <c r="R66" s="383"/>
      <c r="S66" s="350"/>
      <c r="T66" s="352"/>
      <c r="Y66" s="9"/>
      <c r="Z66" s="9"/>
    </row>
    <row r="67" spans="1:71" s="3" customFormat="1" hidden="1" x14ac:dyDescent="0.25">
      <c r="G67" s="350"/>
      <c r="H67" s="388"/>
      <c r="I67" s="388"/>
      <c r="J67" s="352"/>
      <c r="K67" s="517"/>
      <c r="L67" s="9"/>
      <c r="M67" s="350"/>
      <c r="N67" s="351"/>
      <c r="O67" s="344"/>
      <c r="P67" s="346"/>
      <c r="Q67" s="346"/>
      <c r="R67" s="383"/>
      <c r="S67" s="350"/>
      <c r="T67" s="352"/>
      <c r="Y67" s="9"/>
      <c r="Z67" s="9"/>
    </row>
    <row r="68" spans="1:71" s="3" customFormat="1" ht="15" hidden="1" customHeight="1" x14ac:dyDescent="0.25">
      <c r="G68" s="350"/>
      <c r="H68" s="388"/>
      <c r="I68" s="388"/>
      <c r="J68" s="352"/>
      <c r="K68" s="517"/>
      <c r="L68" s="10"/>
      <c r="M68" s="350"/>
      <c r="N68" s="351"/>
      <c r="O68" s="344"/>
      <c r="P68" s="346"/>
      <c r="Q68" s="346"/>
      <c r="R68" s="383"/>
      <c r="S68" s="350"/>
      <c r="T68" s="352"/>
      <c r="Y68" s="9"/>
      <c r="Z68" s="9"/>
    </row>
    <row r="69" spans="1:71" s="3" customFormat="1" ht="15" hidden="1" customHeight="1" x14ac:dyDescent="0.25">
      <c r="G69" s="350"/>
      <c r="H69" s="388"/>
      <c r="I69" s="388"/>
      <c r="J69" s="352"/>
      <c r="K69" s="517"/>
      <c r="L69" s="10"/>
      <c r="M69" s="350"/>
      <c r="N69" s="351"/>
      <c r="O69" s="344"/>
      <c r="P69" s="346"/>
      <c r="Q69" s="346"/>
      <c r="R69" s="383"/>
      <c r="S69" s="350"/>
      <c r="T69" s="352"/>
      <c r="Y69" s="9"/>
      <c r="Z69" s="9"/>
    </row>
    <row r="70" spans="1:71" s="3" customFormat="1" ht="15" hidden="1" customHeight="1" x14ac:dyDescent="0.25">
      <c r="G70" s="350"/>
      <c r="H70" s="388"/>
      <c r="I70" s="388"/>
      <c r="J70" s="352"/>
      <c r="K70" s="517"/>
      <c r="L70" s="10"/>
      <c r="M70" s="350" t="s">
        <v>141</v>
      </c>
      <c r="N70" s="351" t="s">
        <v>142</v>
      </c>
      <c r="O70" s="344"/>
      <c r="P70" s="346"/>
      <c r="Q70" s="346"/>
      <c r="R70" s="383"/>
      <c r="S70" s="350"/>
      <c r="T70" s="352"/>
      <c r="Y70" s="9"/>
      <c r="Z70" s="9"/>
    </row>
    <row r="71" spans="1:71" s="3" customFormat="1" hidden="1" x14ac:dyDescent="0.25">
      <c r="B71" s="11"/>
      <c r="C71" s="11"/>
      <c r="D71" s="11"/>
      <c r="E71" s="11"/>
      <c r="F71" s="11"/>
      <c r="G71" s="350"/>
      <c r="H71" s="388"/>
      <c r="I71" s="388"/>
      <c r="J71" s="352"/>
      <c r="K71" s="517"/>
      <c r="L71" s="10"/>
      <c r="M71" s="350"/>
      <c r="N71" s="351"/>
      <c r="O71" s="344"/>
      <c r="P71" s="346"/>
      <c r="Q71" s="346"/>
      <c r="R71" s="383"/>
      <c r="S71" s="350"/>
      <c r="T71" s="352"/>
      <c r="Y71" s="9"/>
      <c r="Z71" s="9"/>
      <c r="AM71" s="3" t="s">
        <v>254</v>
      </c>
    </row>
    <row r="72" spans="1:71" s="3" customFormat="1" ht="15.75" hidden="1" thickBot="1" x14ac:dyDescent="0.3">
      <c r="A72" s="373" t="s">
        <v>25</v>
      </c>
      <c r="B72" s="373"/>
      <c r="C72" s="373"/>
      <c r="D72" s="373"/>
      <c r="E72" s="373"/>
      <c r="F72" s="373"/>
      <c r="G72" s="353"/>
      <c r="H72" s="389"/>
      <c r="I72" s="389"/>
      <c r="J72" s="354"/>
      <c r="K72" s="518"/>
      <c r="L72" s="12"/>
      <c r="M72" s="353"/>
      <c r="N72" s="385"/>
      <c r="O72" s="345"/>
      <c r="P72" s="347"/>
      <c r="Q72" s="347"/>
      <c r="R72" s="384"/>
      <c r="S72" s="353"/>
      <c r="T72" s="354"/>
      <c r="Y72" s="9"/>
      <c r="Z72" s="9"/>
    </row>
    <row r="73" spans="1:71" s="3" customFormat="1" ht="16.5" hidden="1" thickTop="1" thickBot="1" x14ac:dyDescent="0.3">
      <c r="A73" s="372" t="s">
        <v>107</v>
      </c>
      <c r="B73" s="372"/>
      <c r="C73" s="372"/>
      <c r="D73" s="372"/>
      <c r="E73" s="372"/>
      <c r="F73" s="372"/>
      <c r="G73" s="341">
        <f ca="1">SUM(H77:H97)</f>
        <v>5</v>
      </c>
      <c r="H73" s="342"/>
      <c r="I73" s="342"/>
      <c r="J73" s="343"/>
      <c r="K73" s="13" cm="1">
        <f t="array" aca="1" ref="K73:T73" ca="1">OFFSET(K76:Z76,G73,0,1,10)</f>
        <v>1</v>
      </c>
      <c r="L73" s="14">
        <f ca="1"/>
        <v>0</v>
      </c>
      <c r="M73" s="15">
        <f ca="1"/>
        <v>8</v>
      </c>
      <c r="N73" s="14">
        <f ca="1"/>
        <v>4.5999999999999996</v>
      </c>
      <c r="O73" s="16">
        <f ca="1"/>
        <v>1</v>
      </c>
      <c r="P73" s="14">
        <f ca="1"/>
        <v>0</v>
      </c>
      <c r="Q73" s="14">
        <f ca="1"/>
        <v>0</v>
      </c>
      <c r="R73" s="14">
        <f ca="1"/>
        <v>1</v>
      </c>
      <c r="S73" s="15">
        <f ca="1"/>
        <v>2</v>
      </c>
      <c r="T73" s="14">
        <f ca="1"/>
        <v>0</v>
      </c>
      <c r="U73" s="11"/>
      <c r="V73" s="11"/>
      <c r="Y73" s="11"/>
      <c r="Z73" s="11"/>
    </row>
    <row r="74" spans="1:71" s="3" customFormat="1" ht="16.5" hidden="1" thickTop="1" thickBot="1" x14ac:dyDescent="0.3">
      <c r="A74" s="372" t="s">
        <v>108</v>
      </c>
      <c r="B74" s="372"/>
      <c r="C74" s="372"/>
      <c r="D74" s="372"/>
      <c r="E74" s="372"/>
      <c r="F74" s="372"/>
      <c r="G74" s="341">
        <f ca="1">SUM(I77:I97)</f>
        <v>0</v>
      </c>
      <c r="H74" s="342"/>
      <c r="I74" s="342"/>
      <c r="J74" s="343"/>
      <c r="K74" s="13" cm="1">
        <f t="array" aca="1" ref="K74:T74" ca="1">OFFSET(K76:Z76,G74,0,1,10)</f>
        <v>0</v>
      </c>
      <c r="L74" s="14">
        <f ca="1"/>
        <v>0</v>
      </c>
      <c r="M74" s="15">
        <f ca="1"/>
        <v>0</v>
      </c>
      <c r="N74" s="14">
        <f ca="1"/>
        <v>0</v>
      </c>
      <c r="O74" s="16">
        <f ca="1"/>
        <v>0</v>
      </c>
      <c r="P74" s="14">
        <f ca="1"/>
        <v>0</v>
      </c>
      <c r="Q74" s="14">
        <f ca="1"/>
        <v>0</v>
      </c>
      <c r="R74" s="14">
        <f ca="1"/>
        <v>0</v>
      </c>
      <c r="S74" s="15">
        <f ca="1"/>
        <v>0</v>
      </c>
      <c r="T74" s="14">
        <f ca="1"/>
        <v>0</v>
      </c>
      <c r="U74" s="11"/>
      <c r="V74" s="11"/>
      <c r="Y74" s="11"/>
      <c r="Z74" s="11"/>
    </row>
    <row r="75" spans="1:71" s="3" customFormat="1" ht="16.5" hidden="1" thickTop="1" thickBot="1" x14ac:dyDescent="0.3">
      <c r="A75" s="372" t="s">
        <v>109</v>
      </c>
      <c r="B75" s="372"/>
      <c r="C75" s="372"/>
      <c r="D75" s="372"/>
      <c r="E75" s="372"/>
      <c r="F75" s="372"/>
      <c r="G75" s="369">
        <f ca="1">SUM(J77:J97)</f>
        <v>0</v>
      </c>
      <c r="H75" s="370"/>
      <c r="I75" s="370"/>
      <c r="J75" s="371"/>
      <c r="K75" s="13" cm="1">
        <f t="array" aca="1" ref="K75:T75" ca="1">OFFSET(K76:Z76,G75,0,1,10)</f>
        <v>0</v>
      </c>
      <c r="L75" s="14">
        <f ca="1"/>
        <v>0</v>
      </c>
      <c r="M75" s="15">
        <f ca="1"/>
        <v>0</v>
      </c>
      <c r="N75" s="14">
        <f ca="1"/>
        <v>0</v>
      </c>
      <c r="O75" s="16">
        <f ca="1"/>
        <v>0</v>
      </c>
      <c r="P75" s="14">
        <f ca="1"/>
        <v>0</v>
      </c>
      <c r="Q75" s="14">
        <f ca="1"/>
        <v>0</v>
      </c>
      <c r="R75" s="14">
        <f ca="1"/>
        <v>0</v>
      </c>
      <c r="S75" s="15">
        <f ca="1"/>
        <v>0</v>
      </c>
      <c r="T75" s="14">
        <f ca="1"/>
        <v>0</v>
      </c>
      <c r="U75" s="11"/>
      <c r="V75" s="11"/>
      <c r="Y75" s="11"/>
      <c r="Z75" s="11"/>
    </row>
    <row r="76" spans="1:71" s="3" customFormat="1" ht="4.5" hidden="1" customHeight="1" thickTop="1" thickBot="1" x14ac:dyDescent="0.3">
      <c r="A76" s="387"/>
      <c r="B76" s="387"/>
      <c r="C76" s="387"/>
      <c r="D76" s="387"/>
      <c r="E76" s="387"/>
      <c r="F76" s="387"/>
      <c r="G76" s="17"/>
      <c r="H76" s="17"/>
      <c r="I76" s="17"/>
      <c r="J76" s="17"/>
      <c r="K76" s="18"/>
      <c r="L76" s="17"/>
      <c r="M76" s="18"/>
      <c r="N76" s="17"/>
      <c r="O76" s="18"/>
      <c r="P76" s="17"/>
      <c r="Q76" s="18"/>
      <c r="R76" s="17"/>
      <c r="S76" s="18"/>
      <c r="T76" s="17"/>
      <c r="U76" s="207"/>
      <c r="V76" s="207"/>
      <c r="Y76" s="207"/>
      <c r="Z76" s="207"/>
    </row>
    <row r="77" spans="1:71" s="3" customFormat="1" ht="16.5" hidden="1" thickTop="1" thickBot="1" x14ac:dyDescent="0.3">
      <c r="A77" s="375" t="str">
        <f ca="1">BO157</f>
        <v>CCS</v>
      </c>
      <c r="B77" s="375"/>
      <c r="C77" s="375"/>
      <c r="D77" s="375"/>
      <c r="E77" s="375"/>
      <c r="F77" s="375"/>
      <c r="G77" s="19">
        <v>1</v>
      </c>
      <c r="H77" s="20">
        <f ca="1">IF(A77=$F$27,G77,0)</f>
        <v>0</v>
      </c>
      <c r="I77" s="20">
        <f ca="1">IF(A77=$F$38,G77,0)</f>
        <v>0</v>
      </c>
      <c r="J77" s="21">
        <f ca="1">IF(A77=$F$49,G77,0)</f>
        <v>0</v>
      </c>
      <c r="K77" s="22">
        <v>1</v>
      </c>
      <c r="M77" s="23">
        <v>7</v>
      </c>
      <c r="N77" s="3">
        <v>3.5</v>
      </c>
      <c r="O77" s="24">
        <f>IF(P77+Q77+R77&gt;0,1,0)</f>
        <v>1</v>
      </c>
      <c r="P77" s="25"/>
      <c r="Q77" s="26">
        <v>1</v>
      </c>
      <c r="R77" s="27">
        <v>1</v>
      </c>
      <c r="S77" s="376">
        <v>2</v>
      </c>
      <c r="T77" s="377"/>
      <c r="AE77" s="226"/>
      <c r="AF77" s="227"/>
      <c r="AG77" s="227"/>
      <c r="AH77" s="227"/>
      <c r="AI77" s="513" t="s">
        <v>96</v>
      </c>
      <c r="AJ77" s="513"/>
      <c r="AK77" s="513" t="s">
        <v>114</v>
      </c>
      <c r="AL77" s="513"/>
      <c r="AM77" s="513" t="s">
        <v>0</v>
      </c>
      <c r="AN77" s="514"/>
      <c r="BK77" s="28"/>
      <c r="BL77" s="28"/>
      <c r="BM77" s="28"/>
      <c r="BN77" s="28"/>
      <c r="BO77" s="29" t="s">
        <v>38</v>
      </c>
      <c r="BP77" s="30">
        <v>1</v>
      </c>
      <c r="BQ77" s="30">
        <v>2</v>
      </c>
      <c r="BR77" s="30">
        <v>3</v>
      </c>
      <c r="BS77" s="30">
        <v>4</v>
      </c>
    </row>
    <row r="78" spans="1:71" s="3" customFormat="1" ht="15.75" hidden="1" thickBot="1" x14ac:dyDescent="0.3">
      <c r="A78" s="374" t="str">
        <f t="shared" ref="A78:A79" ca="1" si="0">BO158</f>
        <v>CKS</v>
      </c>
      <c r="B78" s="374"/>
      <c r="C78" s="374"/>
      <c r="D78" s="374"/>
      <c r="E78" s="374"/>
      <c r="F78" s="374"/>
      <c r="G78" s="31">
        <f>G77+1</f>
        <v>2</v>
      </c>
      <c r="H78" s="20">
        <f t="shared" ref="H78" ca="1" si="1">IF(A78=$F$27,G78,0)</f>
        <v>0</v>
      </c>
      <c r="I78" s="20">
        <f t="shared" ref="I78:I79" ca="1" si="2">IF(A78=$F$38,G78,0)</f>
        <v>0</v>
      </c>
      <c r="J78" s="32">
        <f t="shared" ref="J78:J79" ca="1" si="3">IF(A78=$F$49,G78,0)</f>
        <v>0</v>
      </c>
      <c r="K78" s="22"/>
      <c r="M78" s="33">
        <v>7</v>
      </c>
      <c r="N78" s="3">
        <v>3.5</v>
      </c>
      <c r="O78" s="34">
        <f t="shared" ref="O78:O79" si="4">IF(P78+Q78+R78&gt;0,1,0)</f>
        <v>1</v>
      </c>
      <c r="P78" s="35">
        <v>1</v>
      </c>
      <c r="R78" s="36"/>
      <c r="S78" s="361">
        <v>2</v>
      </c>
      <c r="T78" s="362"/>
      <c r="AE78" s="400" t="s">
        <v>257</v>
      </c>
      <c r="AF78" s="401"/>
      <c r="AG78" s="401"/>
      <c r="AH78" s="402"/>
      <c r="AI78" s="401">
        <f ca="1">IF(F14=BO136,180,F20)</f>
        <v>90</v>
      </c>
      <c r="AJ78" s="402"/>
      <c r="AK78" s="225"/>
      <c r="AL78" s="228"/>
      <c r="AM78" s="225"/>
      <c r="AN78" s="229"/>
      <c r="AP78" s="6"/>
      <c r="BK78" s="29" t="s">
        <v>39</v>
      </c>
      <c r="BL78" s="37"/>
      <c r="BM78" s="37"/>
      <c r="BN78" s="38"/>
      <c r="BO78" s="39">
        <f>IF(A2="",-4,SUM(BP78:BS78))</f>
        <v>1</v>
      </c>
      <c r="BP78" s="40">
        <f>IF(A2=BP79,BP77,0)</f>
        <v>1</v>
      </c>
      <c r="BQ78" s="41">
        <f>IF(A2=BQ79,BQ77,0)</f>
        <v>0</v>
      </c>
      <c r="BR78" s="41">
        <f>IF(A2=BR79,BR77,0)</f>
        <v>0</v>
      </c>
      <c r="BS78" s="42">
        <f>IF(A2=BS79,BS77,0)</f>
        <v>0</v>
      </c>
    </row>
    <row r="79" spans="1:71" s="3" customFormat="1" ht="15.75" hidden="1" thickBot="1" x14ac:dyDescent="0.3">
      <c r="A79" s="374" t="str">
        <f t="shared" ca="1" si="0"/>
        <v>CRS Corded</v>
      </c>
      <c r="B79" s="374"/>
      <c r="C79" s="374"/>
      <c r="D79" s="374"/>
      <c r="E79" s="374"/>
      <c r="F79" s="374"/>
      <c r="G79" s="31">
        <f t="shared" ref="G79:G96" si="5">G78+1</f>
        <v>3</v>
      </c>
      <c r="H79" s="20">
        <f t="shared" ref="H79:H92" ca="1" si="6">IF(A79=$F$27,G79,0)</f>
        <v>0</v>
      </c>
      <c r="I79" s="20">
        <f t="shared" ca="1" si="2"/>
        <v>0</v>
      </c>
      <c r="J79" s="32">
        <f t="shared" ca="1" si="3"/>
        <v>0</v>
      </c>
      <c r="K79" s="22">
        <v>1</v>
      </c>
      <c r="M79" s="33">
        <v>7</v>
      </c>
      <c r="N79" s="3">
        <v>3</v>
      </c>
      <c r="O79" s="34">
        <f t="shared" si="4"/>
        <v>1</v>
      </c>
      <c r="P79" s="35"/>
      <c r="R79" s="36">
        <v>1</v>
      </c>
      <c r="S79" s="361">
        <v>2.8</v>
      </c>
      <c r="T79" s="362"/>
      <c r="AE79" s="441" t="s">
        <v>258</v>
      </c>
      <c r="AF79" s="374"/>
      <c r="AG79" s="374"/>
      <c r="AH79" s="362"/>
      <c r="AJ79" s="71"/>
      <c r="AL79" s="71"/>
      <c r="AM79" s="374">
        <f ca="1">IF(F14=BO136,180,F22)</f>
        <v>0</v>
      </c>
      <c r="AN79" s="444"/>
      <c r="AQ79" s="6"/>
      <c r="AR79" s="6"/>
      <c r="AS79" s="6"/>
      <c r="AT79" s="6"/>
      <c r="AU79" s="6"/>
      <c r="AV79" s="6"/>
      <c r="AW79" s="6"/>
      <c r="AX79" s="6"/>
      <c r="AY79" s="6"/>
      <c r="AZ79" s="43" t="s">
        <v>177</v>
      </c>
      <c r="BA79" s="6"/>
      <c r="BB79" s="6"/>
      <c r="BC79" s="43" t="s">
        <v>178</v>
      </c>
      <c r="BD79" s="6"/>
      <c r="BK79" s="44" t="str">
        <f>""</f>
        <v/>
      </c>
      <c r="BL79" s="390" t="s">
        <v>40</v>
      </c>
      <c r="BM79" s="391"/>
      <c r="BN79" s="392"/>
      <c r="BO79" s="45" t="str" cm="1">
        <f t="array" aca="1" ref="BO79:BO177" ca="1">OFFSET(BO79:BO177,0,BO78,99,1)</f>
        <v>English</v>
      </c>
      <c r="BP79" s="46" t="s">
        <v>21</v>
      </c>
      <c r="BQ79" s="47" t="s">
        <v>19</v>
      </c>
      <c r="BR79" s="47" t="s">
        <v>41</v>
      </c>
      <c r="BS79" s="48" t="s">
        <v>42</v>
      </c>
    </row>
    <row r="80" spans="1:71" s="3" customFormat="1" ht="15.75" hidden="1" thickBot="1" x14ac:dyDescent="0.3">
      <c r="A80" s="374" t="str">
        <f t="shared" ref="A80:A92" ca="1" si="7">BO160</f>
        <v>CS</v>
      </c>
      <c r="B80" s="374"/>
      <c r="C80" s="374"/>
      <c r="D80" s="374"/>
      <c r="E80" s="374"/>
      <c r="F80" s="374"/>
      <c r="G80" s="31">
        <f t="shared" si="5"/>
        <v>4</v>
      </c>
      <c r="H80" s="20">
        <f t="shared" ca="1" si="6"/>
        <v>0</v>
      </c>
      <c r="I80" s="20">
        <f t="shared" ref="I80:I92" ca="1" si="8">IF(A80=$F$38,G80,0)</f>
        <v>0</v>
      </c>
      <c r="J80" s="32">
        <f t="shared" ref="J80:J92" ca="1" si="9">IF(A80=$F$49,G80,0)</f>
        <v>0</v>
      </c>
      <c r="K80" s="22">
        <v>1</v>
      </c>
      <c r="M80" s="33">
        <v>4</v>
      </c>
      <c r="N80" s="3">
        <v>3.5</v>
      </c>
      <c r="O80" s="34">
        <f t="shared" ref="O80:O92" si="10">IF(P80+Q80+R80&gt;0,1,0)</f>
        <v>1</v>
      </c>
      <c r="P80" s="35"/>
      <c r="Q80" s="3">
        <v>1</v>
      </c>
      <c r="R80" s="36">
        <v>1</v>
      </c>
      <c r="S80" s="361">
        <v>2</v>
      </c>
      <c r="T80" s="362"/>
      <c r="AE80" s="403" t="s">
        <v>259</v>
      </c>
      <c r="AF80" s="276"/>
      <c r="AG80" s="276"/>
      <c r="AH80" s="404"/>
      <c r="AI80" s="520">
        <f ca="1">(180-AI78)/2</f>
        <v>45</v>
      </c>
      <c r="AJ80" s="404"/>
      <c r="AK80" s="145"/>
      <c r="AL80" s="230"/>
      <c r="AM80" s="276">
        <f ca="1">(180-AM79)/2</f>
        <v>90</v>
      </c>
      <c r="AN80" s="277"/>
      <c r="AP80" s="50"/>
      <c r="AQ80" s="51"/>
      <c r="AR80" s="51"/>
      <c r="AS80" s="51"/>
      <c r="AT80" s="51"/>
      <c r="AU80" s="51"/>
      <c r="AV80" s="51"/>
      <c r="AW80" s="51"/>
      <c r="AX80" s="51"/>
      <c r="AY80" s="50"/>
      <c r="AZ80" s="51"/>
      <c r="BA80" s="52"/>
      <c r="BB80" s="51"/>
      <c r="BC80" s="51"/>
      <c r="BD80" s="52"/>
      <c r="BK80" s="53" t="str">
        <f>""</f>
        <v/>
      </c>
      <c r="BL80" s="393"/>
      <c r="BM80" s="394"/>
      <c r="BN80" s="395"/>
      <c r="BO80" s="54" t="str">
        <f ca="1"/>
        <v>Language:</v>
      </c>
      <c r="BP80" s="55" t="s">
        <v>20</v>
      </c>
      <c r="BQ80" s="56" t="s">
        <v>61</v>
      </c>
      <c r="BR80" s="56"/>
      <c r="BS80" s="57"/>
    </row>
    <row r="81" spans="1:71" s="3" customFormat="1" ht="16.5" hidden="1" customHeight="1" x14ac:dyDescent="0.35">
      <c r="A81" s="374" t="str">
        <f t="shared" ca="1" si="7"/>
        <v>FMS (Shuttle)</v>
      </c>
      <c r="B81" s="374"/>
      <c r="C81" s="374"/>
      <c r="D81" s="374"/>
      <c r="E81" s="374"/>
      <c r="F81" s="374"/>
      <c r="G81" s="31">
        <f t="shared" si="5"/>
        <v>5</v>
      </c>
      <c r="H81" s="20">
        <f t="shared" ca="1" si="6"/>
        <v>5</v>
      </c>
      <c r="I81" s="20">
        <f t="shared" ca="1" si="8"/>
        <v>0</v>
      </c>
      <c r="J81" s="32">
        <f t="shared" ca="1" si="9"/>
        <v>0</v>
      </c>
      <c r="K81" s="22">
        <v>1</v>
      </c>
      <c r="M81" s="33">
        <v>8</v>
      </c>
      <c r="N81" s="3">
        <v>4.5999999999999996</v>
      </c>
      <c r="O81" s="34">
        <f t="shared" si="10"/>
        <v>1</v>
      </c>
      <c r="P81" s="35"/>
      <c r="R81" s="36">
        <v>1</v>
      </c>
      <c r="S81" s="361">
        <v>2</v>
      </c>
      <c r="T81" s="362"/>
      <c r="AE81" s="439" t="s">
        <v>92</v>
      </c>
      <c r="AF81" s="440"/>
      <c r="AG81" s="440"/>
      <c r="AH81" s="440"/>
      <c r="AI81" s="239"/>
      <c r="AJ81" s="239"/>
      <c r="AK81" s="239"/>
      <c r="AL81" s="239"/>
      <c r="AM81" s="239"/>
      <c r="AN81" s="240"/>
      <c r="AP81" s="58"/>
      <c r="AQ81" s="6"/>
      <c r="AR81" s="6"/>
      <c r="AS81" s="6"/>
      <c r="AT81" s="6"/>
      <c r="AU81" s="6"/>
      <c r="AV81" s="59"/>
      <c r="AW81" s="59"/>
      <c r="AX81" s="59"/>
      <c r="AY81" s="60"/>
      <c r="AZ81" s="59"/>
      <c r="BA81" s="61"/>
      <c r="BB81" s="59"/>
      <c r="BC81" s="59"/>
      <c r="BD81" s="61"/>
      <c r="BK81" s="53" t="str">
        <f>""</f>
        <v/>
      </c>
      <c r="BL81" s="407" t="s">
        <v>147</v>
      </c>
      <c r="BM81" s="408"/>
      <c r="BN81" s="409"/>
      <c r="BO81" s="62" t="str">
        <f ca="1"/>
        <v xml:space="preserve">Amount of tracks  = </v>
      </c>
      <c r="BP81" s="63" t="s">
        <v>225</v>
      </c>
      <c r="BQ81" s="64" t="s">
        <v>98</v>
      </c>
      <c r="BR81" s="65"/>
      <c r="BS81" s="66"/>
    </row>
    <row r="82" spans="1:71" s="3" customFormat="1" ht="16.5" hidden="1" customHeight="1" x14ac:dyDescent="0.35">
      <c r="A82" s="374" t="str">
        <f t="shared" ca="1" si="7"/>
        <v xml:space="preserve">FMS Plus </v>
      </c>
      <c r="B82" s="374"/>
      <c r="C82" s="374"/>
      <c r="D82" s="374"/>
      <c r="E82" s="374"/>
      <c r="F82" s="374"/>
      <c r="G82" s="31">
        <f t="shared" si="5"/>
        <v>6</v>
      </c>
      <c r="H82" s="20">
        <f t="shared" ca="1" si="6"/>
        <v>0</v>
      </c>
      <c r="I82" s="20">
        <f t="shared" ca="1" si="8"/>
        <v>0</v>
      </c>
      <c r="J82" s="32">
        <f t="shared" ca="1" si="9"/>
        <v>0</v>
      </c>
      <c r="K82" s="22">
        <v>1</v>
      </c>
      <c r="M82" s="33">
        <v>7</v>
      </c>
      <c r="N82" s="3">
        <v>3.5</v>
      </c>
      <c r="O82" s="34">
        <f t="shared" si="10"/>
        <v>1</v>
      </c>
      <c r="P82" s="35"/>
      <c r="R82" s="36">
        <v>1</v>
      </c>
      <c r="S82" s="361">
        <v>2</v>
      </c>
      <c r="T82" s="362"/>
      <c r="AE82" s="241"/>
      <c r="AF82" s="242" t="s">
        <v>139</v>
      </c>
      <c r="AG82" s="242"/>
      <c r="AH82" s="242"/>
      <c r="AI82" s="382">
        <f ca="1">(Z102+(S75/2))-(IF(F51=BO139,F55/2,IF(OR($F$16=BO143,$F$16=BO144,$F$16=BO146,$F$16=BO148),M75,N75)))-$F$18</f>
        <v>-1</v>
      </c>
      <c r="AJ82" s="380"/>
      <c r="AK82" s="378"/>
      <c r="AL82" s="380"/>
      <c r="AM82" s="378">
        <f ca="1">(Z102+(S75/2))-(IF(F51=BO139,F55/2,IF(OR(F16=BO144,$F$16=BO146,$F$16=BO147),M75,N75)))-$F$18</f>
        <v>-1</v>
      </c>
      <c r="AN82" s="379"/>
      <c r="AP82" s="58"/>
      <c r="AQ82" s="6"/>
      <c r="AR82" s="6"/>
      <c r="AS82" s="6"/>
      <c r="AT82" s="6"/>
      <c r="AU82" s="6"/>
      <c r="AV82" s="59"/>
      <c r="AW82" s="59"/>
      <c r="AX82" s="59"/>
      <c r="AY82" s="60"/>
      <c r="AZ82" s="59"/>
      <c r="BA82" s="61"/>
      <c r="BB82" s="59"/>
      <c r="BC82" s="59"/>
      <c r="BD82" s="61"/>
      <c r="BK82" s="53" t="str">
        <f>""</f>
        <v/>
      </c>
      <c r="BL82" s="410"/>
      <c r="BM82" s="411"/>
      <c r="BN82" s="412"/>
      <c r="BO82" s="67" t="str">
        <f ca="1"/>
        <v>-</v>
      </c>
      <c r="BP82" s="68" t="s">
        <v>43</v>
      </c>
      <c r="BQ82" s="69" t="s">
        <v>43</v>
      </c>
      <c r="BR82" s="69"/>
      <c r="BS82" s="70"/>
    </row>
    <row r="83" spans="1:71" s="3" customFormat="1" hidden="1" x14ac:dyDescent="0.25">
      <c r="A83" s="374" t="str">
        <f t="shared" ca="1" si="7"/>
        <v>KS</v>
      </c>
      <c r="B83" s="374"/>
      <c r="C83" s="374"/>
      <c r="D83" s="374"/>
      <c r="E83" s="374"/>
      <c r="F83" s="374"/>
      <c r="G83" s="31">
        <f t="shared" si="5"/>
        <v>7</v>
      </c>
      <c r="H83" s="20">
        <f t="shared" ca="1" si="6"/>
        <v>0</v>
      </c>
      <c r="I83" s="20">
        <f t="shared" ca="1" si="8"/>
        <v>0</v>
      </c>
      <c r="J83" s="32">
        <f t="shared" ca="1" si="9"/>
        <v>0</v>
      </c>
      <c r="K83" s="22">
        <v>1</v>
      </c>
      <c r="M83" s="33">
        <v>4</v>
      </c>
      <c r="N83" s="3">
        <v>3.5</v>
      </c>
      <c r="O83" s="34">
        <f t="shared" si="10"/>
        <v>1</v>
      </c>
      <c r="P83" s="35">
        <v>1</v>
      </c>
      <c r="R83" s="36"/>
      <c r="S83" s="361">
        <v>2</v>
      </c>
      <c r="T83" s="362"/>
      <c r="AE83" s="241"/>
      <c r="AF83" s="242" t="s">
        <v>256</v>
      </c>
      <c r="AG83" s="242"/>
      <c r="AH83" s="242"/>
      <c r="AI83" s="382">
        <f ca="1">AI82*COS(RADIANS(AI80))</f>
        <v>-0.70710678118654757</v>
      </c>
      <c r="AJ83" s="380"/>
      <c r="AK83" s="378"/>
      <c r="AL83" s="380"/>
      <c r="AM83" s="378">
        <f ca="1">AM82*COS(RADIANS(AM80))</f>
        <v>-6.1257422745431001E-17</v>
      </c>
      <c r="AN83" s="379"/>
      <c r="AP83" s="58"/>
      <c r="AQ83" s="72"/>
      <c r="AR83" s="72"/>
      <c r="AS83" s="72"/>
      <c r="AT83" s="72"/>
      <c r="AU83" s="72"/>
      <c r="AV83" s="72"/>
      <c r="AW83" s="72"/>
      <c r="AX83" s="6"/>
      <c r="AY83" s="73"/>
      <c r="AZ83" s="72"/>
      <c r="BA83" s="74"/>
      <c r="BB83" s="72"/>
      <c r="BC83" s="72"/>
      <c r="BD83" s="74"/>
      <c r="BK83" s="53" t="str">
        <f>""</f>
        <v/>
      </c>
      <c r="BL83" s="410"/>
      <c r="BM83" s="411"/>
      <c r="BN83" s="412"/>
      <c r="BO83" s="62" t="str">
        <f ca="1"/>
        <v>Straight track &lt;&gt;</v>
      </c>
      <c r="BP83" s="63" t="s">
        <v>203</v>
      </c>
      <c r="BQ83" s="65" t="s">
        <v>90</v>
      </c>
      <c r="BR83" s="65"/>
      <c r="BS83" s="66"/>
    </row>
    <row r="84" spans="1:71" s="3" customFormat="1" ht="15.75" hidden="1" thickBot="1" x14ac:dyDescent="0.3">
      <c r="A84" s="374" t="str">
        <f t="shared" ca="1" si="7"/>
        <v>MRS</v>
      </c>
      <c r="B84" s="374"/>
      <c r="C84" s="374"/>
      <c r="D84" s="374"/>
      <c r="E84" s="374"/>
      <c r="F84" s="374"/>
      <c r="G84" s="31">
        <f t="shared" si="5"/>
        <v>8</v>
      </c>
      <c r="H84" s="20">
        <f t="shared" ca="1" si="6"/>
        <v>0</v>
      </c>
      <c r="I84" s="20">
        <f t="shared" ca="1" si="8"/>
        <v>0</v>
      </c>
      <c r="J84" s="32">
        <f t="shared" ca="1" si="9"/>
        <v>0</v>
      </c>
      <c r="K84" s="22">
        <v>1</v>
      </c>
      <c r="M84" s="33">
        <v>8</v>
      </c>
      <c r="N84" s="3">
        <v>9.5</v>
      </c>
      <c r="O84" s="34">
        <f t="shared" si="10"/>
        <v>1</v>
      </c>
      <c r="P84" s="35"/>
      <c r="R84" s="36">
        <v>1</v>
      </c>
      <c r="S84" s="361">
        <v>2.8</v>
      </c>
      <c r="T84" s="362"/>
      <c r="AE84" s="233"/>
      <c r="AF84" s="234" t="s">
        <v>255</v>
      </c>
      <c r="AG84" s="234"/>
      <c r="AH84" s="234"/>
      <c r="AI84" s="270">
        <f ca="1">ROUNDUP((Z102+(S75/2))-((IF(F51=BO139,F55/2,IF(OR($F$16=BO143,$F$16=BO144,$F$16=BO146,$F$16=BO148),M75,N75))))-AI83,1)</f>
        <v>0.79999999999999993</v>
      </c>
      <c r="AJ84" s="271"/>
      <c r="AK84" s="272"/>
      <c r="AL84" s="271"/>
      <c r="AM84" s="272">
        <f ca="1">ROUNDUP((Z102+(S75/2))-((IF(F51=BO139,F55/2,IF(OR($F$16=BO144,$F$16=BO146,$F$16=BO147),M75,N75))))-AM83,1)</f>
        <v>0.1</v>
      </c>
      <c r="AN84" s="381"/>
      <c r="AP84" s="58"/>
      <c r="AQ84" s="72"/>
      <c r="AR84" s="72"/>
      <c r="AS84" s="72"/>
      <c r="AT84" s="72"/>
      <c r="AU84" s="72"/>
      <c r="AV84" s="72"/>
      <c r="AW84" s="6"/>
      <c r="AX84" s="6"/>
      <c r="AY84" s="73"/>
      <c r="AZ84" s="6"/>
      <c r="BA84" s="74"/>
      <c r="BB84" s="72"/>
      <c r="BC84" s="6"/>
      <c r="BD84" s="74"/>
      <c r="BK84" s="53" t="str">
        <f>""</f>
        <v/>
      </c>
      <c r="BL84" s="410"/>
      <c r="BM84" s="411"/>
      <c r="BN84" s="412"/>
      <c r="BO84" s="67" t="str">
        <f ca="1"/>
        <v xml:space="preserve">Bended track    = </v>
      </c>
      <c r="BP84" s="68" t="s">
        <v>204</v>
      </c>
      <c r="BQ84" s="69" t="s">
        <v>91</v>
      </c>
      <c r="BR84" s="69"/>
      <c r="BS84" s="70"/>
    </row>
    <row r="85" spans="1:71" s="3" customFormat="1" hidden="1" x14ac:dyDescent="0.25">
      <c r="A85" s="374" t="str">
        <f t="shared" ca="1" si="7"/>
        <v>MRS Universal</v>
      </c>
      <c r="B85" s="374"/>
      <c r="C85" s="374"/>
      <c r="D85" s="374"/>
      <c r="E85" s="374"/>
      <c r="F85" s="374"/>
      <c r="G85" s="31">
        <f t="shared" si="5"/>
        <v>9</v>
      </c>
      <c r="H85" s="20">
        <f t="shared" ca="1" si="6"/>
        <v>0</v>
      </c>
      <c r="I85" s="20">
        <f t="shared" ca="1" si="8"/>
        <v>0</v>
      </c>
      <c r="J85" s="32">
        <f t="shared" ca="1" si="9"/>
        <v>0</v>
      </c>
      <c r="K85" s="22">
        <v>1</v>
      </c>
      <c r="M85" s="33">
        <v>8</v>
      </c>
      <c r="N85" s="3">
        <v>9.5</v>
      </c>
      <c r="O85" s="34">
        <f t="shared" si="10"/>
        <v>1</v>
      </c>
      <c r="P85" s="35"/>
      <c r="R85" s="36">
        <v>1</v>
      </c>
      <c r="S85" s="361">
        <v>2.8</v>
      </c>
      <c r="T85" s="362"/>
      <c r="AE85" s="241" t="s">
        <v>116</v>
      </c>
      <c r="AF85" s="242"/>
      <c r="AG85" s="242"/>
      <c r="AH85" s="242"/>
      <c r="AI85" s="382">
        <f ca="1">IF(J173=0,0,IF(Y107=0,0,IF(OR(F16=BO141,F16=BO145,F16=BO147),AI84,F18)))</f>
        <v>0</v>
      </c>
      <c r="AJ85" s="380"/>
      <c r="AK85" s="378">
        <f ca="1">IF(J173=0,0,IF(F51=BO140,0,IF(F14=BO136,F18,MAX(AI85,AM85))))</f>
        <v>0</v>
      </c>
      <c r="AL85" s="380"/>
      <c r="AM85" s="378">
        <f ca="1">IF(J173=0,0,IF(Y108=0,0,IF(OR(F16=BO142,F16=BO145,F16=BO148),AM84,F18)))</f>
        <v>0</v>
      </c>
      <c r="AN85" s="379"/>
      <c r="AP85" s="58"/>
      <c r="AQ85" s="72"/>
      <c r="AR85" s="72"/>
      <c r="AS85" s="72"/>
      <c r="AT85" s="72"/>
      <c r="AU85" s="72"/>
      <c r="AV85" s="72"/>
      <c r="AW85" s="72"/>
      <c r="AX85" s="6"/>
      <c r="AY85" s="73"/>
      <c r="AZ85" s="72"/>
      <c r="BA85" s="74"/>
      <c r="BB85" s="72"/>
      <c r="BC85" s="72"/>
      <c r="BD85" s="74"/>
      <c r="BK85" s="53" t="str">
        <f>""</f>
        <v/>
      </c>
      <c r="BL85" s="410"/>
      <c r="BM85" s="411"/>
      <c r="BN85" s="412"/>
      <c r="BO85" s="75" t="str">
        <f ca="1"/>
        <v xml:space="preserve">Shape track    =  </v>
      </c>
      <c r="BP85" s="63" t="s">
        <v>226</v>
      </c>
      <c r="BQ85" s="64" t="s">
        <v>150</v>
      </c>
      <c r="BR85" s="65"/>
      <c r="BS85" s="66"/>
    </row>
    <row r="86" spans="1:71" s="3" customFormat="1" hidden="1" x14ac:dyDescent="0.25">
      <c r="A86" s="374" t="str">
        <f t="shared" ca="1" si="7"/>
        <v>CRS Square 30</v>
      </c>
      <c r="B86" s="374"/>
      <c r="C86" s="374"/>
      <c r="D86" s="374"/>
      <c r="E86" s="374"/>
      <c r="F86" s="362"/>
      <c r="G86" s="31">
        <f t="shared" si="5"/>
        <v>10</v>
      </c>
      <c r="H86" s="20">
        <f t="shared" ca="1" si="6"/>
        <v>0</v>
      </c>
      <c r="I86" s="20">
        <f t="shared" ca="1" si="8"/>
        <v>0</v>
      </c>
      <c r="J86" s="32">
        <f t="shared" ca="1" si="9"/>
        <v>0</v>
      </c>
      <c r="K86" s="22">
        <v>1</v>
      </c>
      <c r="M86" s="33">
        <v>4</v>
      </c>
      <c r="N86" s="3">
        <v>3.5</v>
      </c>
      <c r="O86" s="34">
        <f t="shared" si="10"/>
        <v>0</v>
      </c>
      <c r="P86" s="35"/>
      <c r="R86" s="36"/>
      <c r="S86" s="361">
        <v>3</v>
      </c>
      <c r="T86" s="362"/>
      <c r="AE86" s="241" t="s">
        <v>95</v>
      </c>
      <c r="AF86" s="242"/>
      <c r="AG86" s="242"/>
      <c r="AH86" s="242"/>
      <c r="AI86" s="382">
        <f ca="1">IF(J173=0,0,IF(Y107=0,0,IF(F12=BO133,0,IF(F51=BO139,F55/2,N75))))</f>
        <v>0</v>
      </c>
      <c r="AJ86" s="380"/>
      <c r="AK86" s="378">
        <f ca="1">IF(J173=0,0,IF(F51=BO139,F55/2,N75))</f>
        <v>0</v>
      </c>
      <c r="AL86" s="380"/>
      <c r="AM86" s="378">
        <f ca="1">IF(J173=0,0,IF(Y108=0,0,IF(F51=BO139,F55/2,N75)))</f>
        <v>0</v>
      </c>
      <c r="AN86" s="379"/>
      <c r="AP86" s="73"/>
      <c r="AQ86" s="72"/>
      <c r="AR86" s="72"/>
      <c r="AS86" s="72"/>
      <c r="AT86" s="72"/>
      <c r="AU86" s="72"/>
      <c r="AV86" s="72"/>
      <c r="AW86" s="72"/>
      <c r="AX86" s="76" t="s">
        <v>1</v>
      </c>
      <c r="AY86" s="73"/>
      <c r="AZ86" s="72"/>
      <c r="BA86" s="77" t="s">
        <v>2</v>
      </c>
      <c r="BB86" s="72"/>
      <c r="BC86" s="72"/>
      <c r="BD86" s="78" t="s">
        <v>3</v>
      </c>
      <c r="BK86" s="53" t="str">
        <f>""</f>
        <v/>
      </c>
      <c r="BL86" s="410"/>
      <c r="BM86" s="411"/>
      <c r="BN86" s="412"/>
      <c r="BO86" s="67" t="str">
        <f ca="1"/>
        <v>-</v>
      </c>
      <c r="BP86" s="68" t="s">
        <v>43</v>
      </c>
      <c r="BQ86" s="79" t="s">
        <v>43</v>
      </c>
      <c r="BR86" s="69"/>
      <c r="BS86" s="70"/>
    </row>
    <row r="87" spans="1:71" s="3" customFormat="1" hidden="1" x14ac:dyDescent="0.25">
      <c r="A87" s="374" t="str">
        <f t="shared" ca="1" si="7"/>
        <v>CRS Rectangular 45</v>
      </c>
      <c r="B87" s="374"/>
      <c r="C87" s="374"/>
      <c r="D87" s="374"/>
      <c r="E87" s="374"/>
      <c r="F87" s="362"/>
      <c r="G87" s="31">
        <f t="shared" si="5"/>
        <v>11</v>
      </c>
      <c r="H87" s="20">
        <f t="shared" ca="1" si="6"/>
        <v>0</v>
      </c>
      <c r="I87" s="20">
        <f t="shared" ca="1" si="8"/>
        <v>0</v>
      </c>
      <c r="J87" s="32">
        <f t="shared" ca="1" si="9"/>
        <v>0</v>
      </c>
      <c r="K87" s="22">
        <v>1</v>
      </c>
      <c r="M87" s="33">
        <v>4</v>
      </c>
      <c r="N87" s="3">
        <v>3.5</v>
      </c>
      <c r="O87" s="34">
        <f t="shared" si="10"/>
        <v>0</v>
      </c>
      <c r="P87" s="35"/>
      <c r="R87" s="36"/>
      <c r="S87" s="361">
        <v>1.8</v>
      </c>
      <c r="T87" s="362"/>
      <c r="AE87" s="241" t="s">
        <v>94</v>
      </c>
      <c r="AF87" s="242"/>
      <c r="AG87" s="242"/>
      <c r="AH87" s="242"/>
      <c r="AI87" s="382">
        <f ca="1">IF(J173=0,0,IF(Y107=0,0,IF(F12=BO133,0,IF(F51=BO139,F55/2,M75))))</f>
        <v>0</v>
      </c>
      <c r="AJ87" s="380"/>
      <c r="AK87" s="378">
        <f ca="1">IF(J173=0,0,IF(F51=BO139,F55/2,M75))</f>
        <v>0</v>
      </c>
      <c r="AL87" s="380"/>
      <c r="AM87" s="378">
        <f ca="1">IF(J173=0,0,IF(Y108=0,0,IF(F51=BO139,F55/2,M75)))</f>
        <v>0</v>
      </c>
      <c r="AN87" s="379"/>
      <c r="AP87" s="58"/>
      <c r="AQ87" s="6"/>
      <c r="AR87" s="6"/>
      <c r="AS87" s="6"/>
      <c r="AT87" s="6"/>
      <c r="AU87" s="6"/>
      <c r="AV87" s="6"/>
      <c r="AW87" s="6"/>
      <c r="AX87" s="6"/>
      <c r="AY87" s="58"/>
      <c r="AZ87" s="6"/>
      <c r="BA87" s="74"/>
      <c r="BB87" s="6"/>
      <c r="BC87" s="6"/>
      <c r="BD87" s="74"/>
      <c r="BK87" s="53" t="str">
        <f>""</f>
        <v/>
      </c>
      <c r="BL87" s="410"/>
      <c r="BM87" s="411"/>
      <c r="BN87" s="412"/>
      <c r="BO87" s="62" t="str">
        <f ca="1"/>
        <v>Gap between</v>
      </c>
      <c r="BP87" s="63" t="s">
        <v>238</v>
      </c>
      <c r="BQ87" s="64" t="s">
        <v>239</v>
      </c>
      <c r="BR87" s="65"/>
      <c r="BS87" s="66"/>
    </row>
    <row r="88" spans="1:71" s="3" customFormat="1" ht="15.75" hidden="1" thickBot="1" x14ac:dyDescent="0.3">
      <c r="A88" s="374" t="str">
        <f t="shared" ca="1" si="7"/>
        <v>DSXL</v>
      </c>
      <c r="B88" s="374"/>
      <c r="C88" s="374"/>
      <c r="D88" s="374"/>
      <c r="E88" s="374"/>
      <c r="F88" s="362"/>
      <c r="G88" s="31">
        <f t="shared" si="5"/>
        <v>12</v>
      </c>
      <c r="H88" s="20">
        <f t="shared" ca="1" si="6"/>
        <v>0</v>
      </c>
      <c r="I88" s="20">
        <f t="shared" ca="1" si="8"/>
        <v>0</v>
      </c>
      <c r="J88" s="32">
        <f t="shared" ca="1" si="9"/>
        <v>0</v>
      </c>
      <c r="K88" s="22">
        <v>1</v>
      </c>
      <c r="M88" s="33">
        <v>4</v>
      </c>
      <c r="N88" s="3">
        <v>3.5</v>
      </c>
      <c r="O88" s="34">
        <f t="shared" si="10"/>
        <v>0</v>
      </c>
      <c r="P88" s="35"/>
      <c r="R88" s="36"/>
      <c r="S88" s="361">
        <v>5.9</v>
      </c>
      <c r="T88" s="362"/>
      <c r="AE88" s="241" t="s">
        <v>115</v>
      </c>
      <c r="AF88" s="242"/>
      <c r="AG88" s="242"/>
      <c r="AH88" s="242"/>
      <c r="AI88" s="382">
        <v>0</v>
      </c>
      <c r="AJ88" s="380"/>
      <c r="AK88" s="378">
        <v>0</v>
      </c>
      <c r="AL88" s="380"/>
      <c r="AM88" s="378">
        <v>0</v>
      </c>
      <c r="AN88" s="379"/>
      <c r="AP88" s="73"/>
      <c r="AQ88" s="72"/>
      <c r="AR88" s="72"/>
      <c r="AS88" s="72"/>
      <c r="AT88" s="72"/>
      <c r="AU88" s="72"/>
      <c r="AV88" s="72"/>
      <c r="AW88" s="72"/>
      <c r="AX88" s="72"/>
      <c r="AY88" s="73"/>
      <c r="AZ88" s="72"/>
      <c r="BA88" s="80"/>
      <c r="BB88" s="72"/>
      <c r="BC88" s="72"/>
      <c r="BD88" s="80"/>
      <c r="BK88" s="53" t="str">
        <f>""</f>
        <v/>
      </c>
      <c r="BL88" s="410"/>
      <c r="BM88" s="411"/>
      <c r="BN88" s="412"/>
      <c r="BO88" s="67" t="str">
        <f ca="1"/>
        <v xml:space="preserve">curtains in cm  = </v>
      </c>
      <c r="BP88" s="68" t="s">
        <v>244</v>
      </c>
      <c r="BQ88" s="79" t="s">
        <v>243</v>
      </c>
      <c r="BR88" s="69"/>
      <c r="BS88" s="70"/>
    </row>
    <row r="89" spans="1:71" s="3" customFormat="1" ht="16.5" hidden="1" thickTop="1" thickBot="1" x14ac:dyDescent="0.3">
      <c r="A89" s="374" t="str">
        <f t="shared" ca="1" si="7"/>
        <v>DSXL led Motorised</v>
      </c>
      <c r="B89" s="374"/>
      <c r="C89" s="374"/>
      <c r="D89" s="374"/>
      <c r="E89" s="374"/>
      <c r="F89" s="362"/>
      <c r="G89" s="31">
        <f t="shared" si="5"/>
        <v>13</v>
      </c>
      <c r="H89" s="20">
        <f t="shared" ca="1" si="6"/>
        <v>0</v>
      </c>
      <c r="I89" s="20">
        <f t="shared" ca="1" si="8"/>
        <v>0</v>
      </c>
      <c r="J89" s="32">
        <f t="shared" ca="1" si="9"/>
        <v>0</v>
      </c>
      <c r="K89" s="22">
        <v>1</v>
      </c>
      <c r="M89" s="33">
        <v>8</v>
      </c>
      <c r="N89" s="3">
        <v>4.5999999999999996</v>
      </c>
      <c r="O89" s="34">
        <f t="shared" si="10"/>
        <v>0</v>
      </c>
      <c r="P89" s="35"/>
      <c r="R89" s="36"/>
      <c r="S89" s="361">
        <v>6.6</v>
      </c>
      <c r="T89" s="362"/>
      <c r="AE89" s="521" t="s">
        <v>260</v>
      </c>
      <c r="AF89" s="522"/>
      <c r="AG89" s="522"/>
      <c r="AH89" s="522"/>
      <c r="AI89" s="522">
        <f ca="1">SUM(AI85:AJ88)</f>
        <v>0</v>
      </c>
      <c r="AJ89" s="522"/>
      <c r="AK89" s="522">
        <f ca="1">SUM(AK85:AL88)</f>
        <v>0</v>
      </c>
      <c r="AL89" s="522"/>
      <c r="AM89" s="522">
        <f ca="1">SUM(AM85:AN88)</f>
        <v>0</v>
      </c>
      <c r="AN89" s="523"/>
      <c r="AP89" s="73"/>
      <c r="AQ89" s="81"/>
      <c r="AR89" s="81"/>
      <c r="AS89" s="81"/>
      <c r="AT89" s="82" t="s">
        <v>189</v>
      </c>
      <c r="AU89" s="81"/>
      <c r="AV89" s="81"/>
      <c r="AW89" s="81"/>
      <c r="AX89" s="81"/>
      <c r="AY89" s="83" t="s">
        <v>191</v>
      </c>
      <c r="AZ89" s="81"/>
      <c r="BA89" s="84"/>
      <c r="BB89" s="82" t="s">
        <v>190</v>
      </c>
      <c r="BC89" s="81"/>
      <c r="BD89" s="80"/>
      <c r="BK89" s="53" t="str">
        <f>""</f>
        <v/>
      </c>
      <c r="BL89" s="410"/>
      <c r="BM89" s="411"/>
      <c r="BN89" s="412"/>
      <c r="BO89" s="62" t="str">
        <f ca="1"/>
        <v>Angle Left bend</v>
      </c>
      <c r="BP89" s="63" t="s">
        <v>214</v>
      </c>
      <c r="BQ89" s="64" t="s">
        <v>99</v>
      </c>
      <c r="BR89" s="65"/>
      <c r="BS89" s="66"/>
    </row>
    <row r="90" spans="1:71" s="3" customFormat="1" ht="16.5" hidden="1" thickTop="1" thickBot="1" x14ac:dyDescent="0.3">
      <c r="A90" s="374" t="str">
        <f t="shared" ca="1" si="7"/>
        <v>FMS Dual</v>
      </c>
      <c r="B90" s="374"/>
      <c r="C90" s="374"/>
      <c r="D90" s="374"/>
      <c r="E90" s="374"/>
      <c r="F90" s="362"/>
      <c r="G90" s="31">
        <f t="shared" si="5"/>
        <v>14</v>
      </c>
      <c r="H90" s="20">
        <f t="shared" ca="1" si="6"/>
        <v>0</v>
      </c>
      <c r="I90" s="20">
        <f t="shared" ca="1" si="8"/>
        <v>0</v>
      </c>
      <c r="J90" s="32">
        <f t="shared" ca="1" si="9"/>
        <v>0</v>
      </c>
      <c r="K90" s="22">
        <v>1</v>
      </c>
      <c r="M90" s="33">
        <v>6</v>
      </c>
      <c r="N90" s="3">
        <v>4.5999999999999996</v>
      </c>
      <c r="O90" s="34">
        <f t="shared" si="10"/>
        <v>0</v>
      </c>
      <c r="P90" s="35"/>
      <c r="R90" s="36"/>
      <c r="S90" s="361">
        <v>7.2</v>
      </c>
      <c r="T90" s="362"/>
      <c r="AE90" s="241"/>
      <c r="AF90" s="242"/>
      <c r="AG90" s="242"/>
      <c r="AH90" s="242"/>
      <c r="AI90" s="242"/>
      <c r="AJ90" s="242"/>
      <c r="AK90" s="242"/>
      <c r="AL90" s="242"/>
      <c r="AM90" s="242"/>
      <c r="AN90" s="243"/>
      <c r="AP90" s="73"/>
      <c r="AQ90" s="72"/>
      <c r="AR90" s="72"/>
      <c r="AS90" s="72"/>
      <c r="AT90" s="72"/>
      <c r="AU90" s="72"/>
      <c r="AV90" s="72"/>
      <c r="AW90" s="72"/>
      <c r="AX90" s="72"/>
      <c r="AY90" s="73"/>
      <c r="AZ90" s="72"/>
      <c r="BA90" s="80"/>
      <c r="BB90" s="72"/>
      <c r="BC90" s="72"/>
      <c r="BD90" s="80"/>
      <c r="BK90" s="53" t="str">
        <f>""</f>
        <v/>
      </c>
      <c r="BL90" s="410"/>
      <c r="BM90" s="411"/>
      <c r="BN90" s="412"/>
      <c r="BO90" s="67" t="str">
        <f ca="1"/>
        <v xml:space="preserve">in degrees      = </v>
      </c>
      <c r="BP90" s="68" t="s">
        <v>205</v>
      </c>
      <c r="BQ90" s="79" t="s">
        <v>149</v>
      </c>
      <c r="BR90" s="69"/>
      <c r="BS90" s="70"/>
    </row>
    <row r="91" spans="1:71" s="3" customFormat="1" ht="15.75" hidden="1" thickBot="1" x14ac:dyDescent="0.3">
      <c r="A91" s="374" t="str">
        <f t="shared" ca="1" si="7"/>
        <v>MCS 1/2</v>
      </c>
      <c r="B91" s="374"/>
      <c r="C91" s="374"/>
      <c r="D91" s="374"/>
      <c r="E91" s="374"/>
      <c r="F91" s="362"/>
      <c r="G91" s="31">
        <f t="shared" si="5"/>
        <v>15</v>
      </c>
      <c r="H91" s="20">
        <f t="shared" ca="1" si="6"/>
        <v>0</v>
      </c>
      <c r="I91" s="20">
        <f t="shared" ca="1" si="8"/>
        <v>0</v>
      </c>
      <c r="J91" s="32">
        <f t="shared" ca="1" si="9"/>
        <v>0</v>
      </c>
      <c r="K91" s="22">
        <v>1</v>
      </c>
      <c r="M91" s="33">
        <v>5.5</v>
      </c>
      <c r="N91" s="3">
        <v>2.5</v>
      </c>
      <c r="O91" s="34">
        <f t="shared" si="10"/>
        <v>0</v>
      </c>
      <c r="P91" s="35"/>
      <c r="R91" s="36"/>
      <c r="S91" s="361">
        <v>4.7</v>
      </c>
      <c r="T91" s="362"/>
      <c r="AE91" s="524" t="s">
        <v>89</v>
      </c>
      <c r="AF91" s="525"/>
      <c r="AG91" s="525"/>
      <c r="AH91" s="525"/>
      <c r="AI91" s="235"/>
      <c r="AJ91" s="231"/>
      <c r="AK91" s="231"/>
      <c r="AL91" s="231"/>
      <c r="AM91" s="231"/>
      <c r="AN91" s="232"/>
      <c r="AP91" s="85"/>
      <c r="AQ91" s="86"/>
      <c r="AR91" s="86"/>
      <c r="AS91" s="86"/>
      <c r="AT91" s="87" t="s">
        <v>4</v>
      </c>
      <c r="AU91" s="86"/>
      <c r="AV91" s="86"/>
      <c r="AW91" s="86"/>
      <c r="AX91" s="86"/>
      <c r="AY91" s="85"/>
      <c r="AZ91" s="87" t="s">
        <v>5</v>
      </c>
      <c r="BA91" s="88"/>
      <c r="BB91" s="86"/>
      <c r="BC91" s="87" t="s">
        <v>179</v>
      </c>
      <c r="BD91" s="88"/>
      <c r="BK91" s="53" t="str">
        <f>""</f>
        <v/>
      </c>
      <c r="BL91" s="410"/>
      <c r="BM91" s="411"/>
      <c r="BN91" s="412"/>
      <c r="BO91" s="62" t="str">
        <f ca="1"/>
        <v>Angle Right bend</v>
      </c>
      <c r="BP91" s="63" t="s">
        <v>215</v>
      </c>
      <c r="BQ91" s="65" t="s">
        <v>100</v>
      </c>
      <c r="BR91" s="65"/>
      <c r="BS91" s="66"/>
    </row>
    <row r="92" spans="1:71" s="3" customFormat="1" hidden="1" x14ac:dyDescent="0.25">
      <c r="A92" s="374" t="str">
        <f t="shared" ca="1" si="7"/>
        <v>MCS 2/3</v>
      </c>
      <c r="B92" s="374"/>
      <c r="C92" s="374"/>
      <c r="D92" s="374"/>
      <c r="E92" s="374"/>
      <c r="F92" s="362"/>
      <c r="G92" s="31">
        <f t="shared" si="5"/>
        <v>16</v>
      </c>
      <c r="H92" s="20">
        <f t="shared" ca="1" si="6"/>
        <v>0</v>
      </c>
      <c r="I92" s="20">
        <f t="shared" ca="1" si="8"/>
        <v>0</v>
      </c>
      <c r="J92" s="32">
        <f t="shared" ca="1" si="9"/>
        <v>0</v>
      </c>
      <c r="K92" s="22">
        <v>1</v>
      </c>
      <c r="M92" s="33">
        <v>8.5</v>
      </c>
      <c r="N92" s="3">
        <v>5.5</v>
      </c>
      <c r="O92" s="34">
        <f t="shared" si="10"/>
        <v>0</v>
      </c>
      <c r="P92" s="35"/>
      <c r="R92" s="36"/>
      <c r="S92" s="361">
        <v>10.9</v>
      </c>
      <c r="T92" s="362"/>
      <c r="AE92" s="502" t="s">
        <v>139</v>
      </c>
      <c r="AF92" s="437"/>
      <c r="AG92" s="437"/>
      <c r="AH92" s="497"/>
      <c r="AI92" s="519">
        <f ca="1">(Y102+(S74/2))-(IF(F40=BO139,F44/2,IF(OR($F$16=BO143,$F$16=BO144,$F$16=BO146,$F$16=BO148),M74,N74)))-$F$18</f>
        <v>-1</v>
      </c>
      <c r="AJ92" s="497"/>
      <c r="AK92" s="437"/>
      <c r="AL92" s="497"/>
      <c r="AM92" s="437">
        <f ca="1">(Y102+(S74/2))-(IF(F40=BO139,F44/2,IF(OR(F16=BO144,$F$16=BO146,$F$16=BO147),M74,N74)))-$F$18</f>
        <v>-1</v>
      </c>
      <c r="AN92" s="438"/>
      <c r="AP92" s="58"/>
      <c r="AQ92" s="6"/>
      <c r="AR92" s="6"/>
      <c r="AS92" s="6"/>
      <c r="AT92" s="6"/>
      <c r="AU92" s="6"/>
      <c r="AV92" s="6"/>
      <c r="AW92" s="6"/>
      <c r="AX92" s="6"/>
      <c r="AY92" s="58"/>
      <c r="AZ92" s="6"/>
      <c r="BA92" s="74"/>
      <c r="BB92" s="6"/>
      <c r="BC92" s="6"/>
      <c r="BD92" s="74"/>
      <c r="BK92" s="53" t="str">
        <f>""</f>
        <v/>
      </c>
      <c r="BL92" s="413"/>
      <c r="BM92" s="414"/>
      <c r="BN92" s="415"/>
      <c r="BO92" s="67" t="str">
        <f ca="1"/>
        <v xml:space="preserve">in degrees      = </v>
      </c>
      <c r="BP92" s="68" t="s">
        <v>205</v>
      </c>
      <c r="BQ92" s="79" t="s">
        <v>149</v>
      </c>
      <c r="BR92" s="69"/>
      <c r="BS92" s="70"/>
    </row>
    <row r="93" spans="1:71" s="3" customFormat="1" hidden="1" x14ac:dyDescent="0.25">
      <c r="G93" s="28"/>
      <c r="AE93" s="503" t="s">
        <v>256</v>
      </c>
      <c r="AF93" s="263"/>
      <c r="AG93" s="263"/>
      <c r="AH93" s="262"/>
      <c r="AI93" s="261">
        <f ca="1">AI92*COS(RADIANS(AI80))</f>
        <v>-0.70710678118654757</v>
      </c>
      <c r="AJ93" s="262"/>
      <c r="AK93" s="263"/>
      <c r="AL93" s="262"/>
      <c r="AM93" s="263">
        <f ca="1">AM92*COS(RADIANS(AM80))</f>
        <v>-6.1257422745431001E-17</v>
      </c>
      <c r="AN93" s="264"/>
      <c r="AP93" s="73"/>
      <c r="AQ93" s="72"/>
      <c r="AR93" s="72"/>
      <c r="AS93" s="72"/>
      <c r="AT93" s="72"/>
      <c r="AU93" s="72"/>
      <c r="AV93" s="72"/>
      <c r="AW93" s="72"/>
      <c r="AX93" s="72"/>
      <c r="AY93" s="73"/>
      <c r="AZ93" s="72"/>
      <c r="BA93" s="80"/>
      <c r="BB93" s="72"/>
      <c r="BC93" s="72"/>
      <c r="BD93" s="80"/>
      <c r="BK93" s="53" t="str">
        <f>""</f>
        <v/>
      </c>
      <c r="BL93" s="473" t="s">
        <v>146</v>
      </c>
      <c r="BM93" s="474"/>
      <c r="BN93" s="474"/>
      <c r="BO93" s="62" t="str">
        <f ca="1"/>
        <v>Track 1</v>
      </c>
      <c r="BP93" s="63" t="s">
        <v>206</v>
      </c>
      <c r="BQ93" s="65" t="s">
        <v>88</v>
      </c>
      <c r="BR93" s="65"/>
      <c r="BS93" s="66"/>
    </row>
    <row r="94" spans="1:71" s="3" customFormat="1" ht="15.75" hidden="1" thickBot="1" x14ac:dyDescent="0.3">
      <c r="A94" s="386" t="s">
        <v>267</v>
      </c>
      <c r="B94" s="386"/>
      <c r="C94" s="386"/>
      <c r="D94" s="386"/>
      <c r="E94" s="386"/>
      <c r="F94" s="386"/>
      <c r="G94" s="31">
        <f t="shared" si="5"/>
        <v>1</v>
      </c>
      <c r="H94" s="20">
        <f>IF(A94=$F$27,G94,0)</f>
        <v>0</v>
      </c>
      <c r="I94" s="20">
        <f>IF(A94=$F$38,G94,0)</f>
        <v>0</v>
      </c>
      <c r="J94" s="32">
        <f>IF(A94=$F$49,G94,0)</f>
        <v>0</v>
      </c>
      <c r="K94" s="22">
        <v>1</v>
      </c>
      <c r="M94" s="33">
        <v>4</v>
      </c>
      <c r="N94" s="3">
        <v>3</v>
      </c>
      <c r="O94" s="34">
        <f>IF(P94+Q94+R94&gt;0,1,0)</f>
        <v>1</v>
      </c>
      <c r="P94" s="35">
        <v>1</v>
      </c>
      <c r="R94" s="36"/>
      <c r="S94" s="361">
        <v>2</v>
      </c>
      <c r="T94" s="362"/>
      <c r="AE94" s="504" t="s">
        <v>255</v>
      </c>
      <c r="AF94" s="265"/>
      <c r="AG94" s="265"/>
      <c r="AH94" s="266"/>
      <c r="AI94" s="506">
        <f ca="1">ROUNDUP((Y102+(S74/2))-((IF(F40=BO139,F44/2,IF(OR($F$16=BO143,$F$16=BO144,$F$16=BO146,$F$16=BO148),M74,N74))))-AI93,1)</f>
        <v>0.79999999999999993</v>
      </c>
      <c r="AJ94" s="266"/>
      <c r="AK94" s="265"/>
      <c r="AL94" s="266"/>
      <c r="AM94" s="265">
        <f ca="1">ROUNDUP((Y102+(S74/2))-((IF(F40=BO139,F44/2,IF(OR($F$16=BO144,$F$16=BO146,$F$16=BO147),M74,N74))))-AM93,1)</f>
        <v>0.1</v>
      </c>
      <c r="AN94" s="424"/>
      <c r="AP94" s="89" t="s">
        <v>180</v>
      </c>
      <c r="AQ94" s="49"/>
      <c r="AR94" s="49"/>
      <c r="AS94" s="49"/>
      <c r="AT94" s="90" t="s">
        <v>194</v>
      </c>
      <c r="AU94" s="49"/>
      <c r="AV94" s="49"/>
      <c r="AW94" s="49"/>
      <c r="AX94" s="90" t="s">
        <v>6</v>
      </c>
      <c r="AY94" s="91" t="s">
        <v>193</v>
      </c>
      <c r="AZ94" s="49"/>
      <c r="BA94" s="92" t="s">
        <v>181</v>
      </c>
      <c r="BB94" s="90" t="s">
        <v>192</v>
      </c>
      <c r="BC94" s="49"/>
      <c r="BD94" s="93" t="s">
        <v>96</v>
      </c>
      <c r="BK94" s="53" t="str">
        <f>""</f>
        <v/>
      </c>
      <c r="BL94" s="461"/>
      <c r="BM94" s="462"/>
      <c r="BN94" s="462"/>
      <c r="BO94" s="75" t="str">
        <f ca="1"/>
        <v>Track 2</v>
      </c>
      <c r="BP94" s="94" t="s">
        <v>207</v>
      </c>
      <c r="BQ94" s="95" t="s">
        <v>89</v>
      </c>
      <c r="BR94" s="95"/>
      <c r="BS94" s="96"/>
    </row>
    <row r="95" spans="1:71" s="3" customFormat="1" hidden="1" x14ac:dyDescent="0.25">
      <c r="A95" s="386" t="s">
        <v>268</v>
      </c>
      <c r="B95" s="386"/>
      <c r="C95" s="386"/>
      <c r="D95" s="386"/>
      <c r="E95" s="386"/>
      <c r="F95" s="386"/>
      <c r="G95" s="31">
        <f t="shared" si="5"/>
        <v>2</v>
      </c>
      <c r="H95" s="20">
        <f>IF(A95=$F$27,G95,0)</f>
        <v>0</v>
      </c>
      <c r="I95" s="20">
        <f>IF(A95=$F$38,G95,0)</f>
        <v>0</v>
      </c>
      <c r="J95" s="32">
        <f>IF(A95=$F$49,G95,0)</f>
        <v>0</v>
      </c>
      <c r="K95" s="22">
        <v>1</v>
      </c>
      <c r="M95" s="33">
        <v>4</v>
      </c>
      <c r="N95" s="3">
        <v>3</v>
      </c>
      <c r="O95" s="34">
        <f>IF(P95+Q95+R95&gt;0,1,0)</f>
        <v>1</v>
      </c>
      <c r="P95" s="35"/>
      <c r="R95" s="36">
        <v>1</v>
      </c>
      <c r="S95" s="361">
        <v>2.8</v>
      </c>
      <c r="T95" s="362"/>
      <c r="AE95" s="503" t="s">
        <v>116</v>
      </c>
      <c r="AF95" s="263"/>
      <c r="AG95" s="263"/>
      <c r="AH95" s="262"/>
      <c r="AI95" s="261">
        <f ca="1">IF(J159=0,0,IF(Y107=0,0,IF(F12=BO135,F18,IF(OR(F16=BO141,F16=BO145,F16=BO147),AI94,F18))))</f>
        <v>0</v>
      </c>
      <c r="AJ95" s="262"/>
      <c r="AK95" s="263">
        <f ca="1">IF(J159=0,0,IF(J173=0,IF(F40=BO140,0,IF(F14=BO136,F18,MAX(AI95,AM95))),F18))</f>
        <v>0</v>
      </c>
      <c r="AL95" s="262"/>
      <c r="AM95" s="263">
        <f ca="1">IF(J159=0,0,IF(Y108=0,0,IF(F12=BO135,F18,IF(OR(F16=BO142,F16=BO145,F16=BO148),AM94,F18))))</f>
        <v>0</v>
      </c>
      <c r="AN95" s="264"/>
      <c r="AP95" s="73"/>
      <c r="AQ95" s="72"/>
      <c r="AR95" s="72"/>
      <c r="AS95" s="72"/>
      <c r="AT95" s="72"/>
      <c r="AU95" s="72"/>
      <c r="AV95" s="72"/>
      <c r="AW95" s="72"/>
      <c r="AX95" s="72"/>
      <c r="AY95" s="73"/>
      <c r="AZ95" s="72"/>
      <c r="BA95" s="80"/>
      <c r="BB95" s="72"/>
      <c r="BC95" s="72"/>
      <c r="BD95" s="80"/>
      <c r="BK95" s="53" t="str">
        <f>""</f>
        <v/>
      </c>
      <c r="BL95" s="461"/>
      <c r="BM95" s="462"/>
      <c r="BN95" s="462"/>
      <c r="BO95" s="67" t="str">
        <f ca="1"/>
        <v>Track 3</v>
      </c>
      <c r="BP95" s="68" t="s">
        <v>208</v>
      </c>
      <c r="BQ95" s="69" t="s">
        <v>92</v>
      </c>
      <c r="BR95" s="69"/>
      <c r="BS95" s="70"/>
    </row>
    <row r="96" spans="1:71" s="3" customFormat="1" ht="15.75" hidden="1" thickBot="1" x14ac:dyDescent="0.3">
      <c r="A96" s="386" t="s">
        <v>31</v>
      </c>
      <c r="B96" s="386"/>
      <c r="C96" s="386"/>
      <c r="D96" s="386"/>
      <c r="E96" s="386"/>
      <c r="F96" s="386"/>
      <c r="G96" s="31">
        <f t="shared" si="5"/>
        <v>3</v>
      </c>
      <c r="H96" s="20">
        <f>IF(A96=$F$27,G96,0)</f>
        <v>0</v>
      </c>
      <c r="I96" s="20">
        <f>IF(A96=$F$38,G96,0)</f>
        <v>0</v>
      </c>
      <c r="J96" s="32">
        <f>IF(A96=$F$49,G96,0)</f>
        <v>0</v>
      </c>
      <c r="K96" s="22">
        <v>1</v>
      </c>
      <c r="M96" s="33">
        <v>4</v>
      </c>
      <c r="N96" s="3">
        <v>3.5</v>
      </c>
      <c r="O96" s="34">
        <f>IF(P96+Q96+R96&gt;0,1,0)</f>
        <v>1</v>
      </c>
      <c r="P96" s="35">
        <v>1</v>
      </c>
      <c r="R96" s="36"/>
      <c r="S96" s="361">
        <v>2.9</v>
      </c>
      <c r="T96" s="362"/>
      <c r="AE96" s="503" t="s">
        <v>95</v>
      </c>
      <c r="AF96" s="263"/>
      <c r="AG96" s="263"/>
      <c r="AH96" s="262"/>
      <c r="AI96" s="261">
        <f ca="1">IF(J159=0,0,IF(Y107=0,0,IF(F40=BO139,F44/2,N74)))</f>
        <v>0</v>
      </c>
      <c r="AJ96" s="262"/>
      <c r="AK96" s="263">
        <f ca="1">IF(J159=0,0,IF(F40=BO139,F44/2,N74))</f>
        <v>0</v>
      </c>
      <c r="AL96" s="262"/>
      <c r="AM96" s="263">
        <f ca="1">IF(J159=0,0,IF(Y108=0,0,IF(F40=BO139,F44/2,N74)))</f>
        <v>0</v>
      </c>
      <c r="AN96" s="264"/>
      <c r="AP96" s="85"/>
      <c r="AQ96" s="86"/>
      <c r="AR96" s="86"/>
      <c r="AS96" s="86"/>
      <c r="AT96" s="87" t="s">
        <v>114</v>
      </c>
      <c r="AU96" s="86"/>
      <c r="AV96" s="86"/>
      <c r="AW96" s="86"/>
      <c r="AX96" s="86"/>
      <c r="AY96" s="85"/>
      <c r="AZ96" s="87" t="s">
        <v>182</v>
      </c>
      <c r="BA96" s="88"/>
      <c r="BB96" s="86"/>
      <c r="BC96" s="87" t="s">
        <v>183</v>
      </c>
      <c r="BD96" s="88"/>
      <c r="BK96" s="53" t="str">
        <f>""</f>
        <v/>
      </c>
      <c r="BL96" s="461"/>
      <c r="BM96" s="462"/>
      <c r="BN96" s="462"/>
      <c r="BO96" s="75" t="str">
        <f ca="1"/>
        <v xml:space="preserve">Type track   = </v>
      </c>
      <c r="BP96" s="94" t="s">
        <v>209</v>
      </c>
      <c r="BQ96" s="31" t="s">
        <v>148</v>
      </c>
      <c r="BR96" s="95"/>
      <c r="BS96" s="96"/>
    </row>
    <row r="97" spans="1:71" s="3" customFormat="1" hidden="1" x14ac:dyDescent="0.25">
      <c r="AE97" s="503" t="s">
        <v>94</v>
      </c>
      <c r="AF97" s="263"/>
      <c r="AG97" s="263"/>
      <c r="AH97" s="262"/>
      <c r="AI97" s="261">
        <f ca="1">IF(J159=0,0,IF(Y107=0,0,IF(F40=BO139,F44/2,M74)))</f>
        <v>0</v>
      </c>
      <c r="AJ97" s="262"/>
      <c r="AK97" s="263">
        <f ca="1">IF(J159=0,0,IF(F40=BO139,F44/2,M74))</f>
        <v>0</v>
      </c>
      <c r="AL97" s="262"/>
      <c r="AM97" s="263">
        <f ca="1">IF(J159=0,0,IF(Y108=0,0,IF(F40=BO139,F44/2,M74)))</f>
        <v>0</v>
      </c>
      <c r="AN97" s="264"/>
      <c r="AO97" s="28"/>
      <c r="AP97" s="58"/>
      <c r="AQ97" s="6"/>
      <c r="AR97" s="6"/>
      <c r="AS97" s="6"/>
      <c r="AT97" s="6"/>
      <c r="AU97" s="6"/>
      <c r="AV97" s="6"/>
      <c r="AW97" s="6"/>
      <c r="AX97" s="6"/>
      <c r="AY97" s="58"/>
      <c r="AZ97" s="6"/>
      <c r="BA97" s="74"/>
      <c r="BB97" s="6"/>
      <c r="BC97" s="6"/>
      <c r="BD97" s="74"/>
      <c r="BK97" s="53" t="str">
        <f>""</f>
        <v/>
      </c>
      <c r="BL97" s="461"/>
      <c r="BM97" s="462"/>
      <c r="BN97" s="462"/>
      <c r="BO97" s="67" t="str">
        <f ca="1"/>
        <v>-</v>
      </c>
      <c r="BP97" s="68" t="s">
        <v>43</v>
      </c>
      <c r="BQ97" s="79" t="s">
        <v>43</v>
      </c>
      <c r="BR97" s="69"/>
      <c r="BS97" s="70"/>
    </row>
    <row r="98" spans="1:71" s="3" customFormat="1" ht="15.75" hidden="1" thickBot="1" x14ac:dyDescent="0.3">
      <c r="AE98" s="537" t="s">
        <v>115</v>
      </c>
      <c r="AF98" s="483"/>
      <c r="AG98" s="483"/>
      <c r="AH98" s="505"/>
      <c r="AI98" s="483">
        <v>0</v>
      </c>
      <c r="AJ98" s="505"/>
      <c r="AK98" s="483">
        <v>0</v>
      </c>
      <c r="AL98" s="505"/>
      <c r="AM98" s="483">
        <v>0</v>
      </c>
      <c r="AN98" s="484"/>
      <c r="AO98" s="28"/>
      <c r="AP98" s="73"/>
      <c r="AQ98" s="72"/>
      <c r="AR98" s="72"/>
      <c r="AS98" s="72"/>
      <c r="AT98" s="72"/>
      <c r="AU98" s="72"/>
      <c r="AV98" s="72"/>
      <c r="AW98" s="72"/>
      <c r="AX98" s="72"/>
      <c r="AY98" s="73"/>
      <c r="AZ98" s="72"/>
      <c r="BA98" s="80"/>
      <c r="BB98" s="72"/>
      <c r="BC98" s="72"/>
      <c r="BD98" s="80"/>
      <c r="BK98" s="53" t="str">
        <f>""</f>
        <v/>
      </c>
      <c r="BL98" s="461"/>
      <c r="BM98" s="462"/>
      <c r="BN98" s="462"/>
      <c r="BO98" s="62" t="str">
        <f ca="1"/>
        <v>Pleat curtain &lt;&gt;</v>
      </c>
      <c r="BP98" s="63" t="s">
        <v>210</v>
      </c>
      <c r="BQ98" s="64" t="s">
        <v>12</v>
      </c>
      <c r="BR98" s="65"/>
      <c r="BS98" s="66"/>
    </row>
    <row r="99" spans="1:71" s="3" customFormat="1" ht="16.5" hidden="1" thickTop="1" thickBot="1" x14ac:dyDescent="0.3">
      <c r="AE99" s="503" t="s">
        <v>261</v>
      </c>
      <c r="AF99" s="263"/>
      <c r="AG99" s="263"/>
      <c r="AH99" s="263"/>
      <c r="AI99" s="495">
        <f ca="1">SUM(AI95:AJ98)</f>
        <v>0</v>
      </c>
      <c r="AJ99" s="495"/>
      <c r="AK99" s="495">
        <f ca="1">SUM(AK95:AL98)</f>
        <v>0</v>
      </c>
      <c r="AL99" s="495"/>
      <c r="AM99" s="495">
        <f ca="1">SUM(AM95:AN98)</f>
        <v>0</v>
      </c>
      <c r="AN99" s="496"/>
      <c r="AP99" s="89" t="s">
        <v>184</v>
      </c>
      <c r="AQ99" s="49"/>
      <c r="AR99" s="49"/>
      <c r="AS99" s="49"/>
      <c r="AT99" s="97" t="s">
        <v>195</v>
      </c>
      <c r="AU99" s="49"/>
      <c r="AV99" s="49"/>
      <c r="AW99" s="49"/>
      <c r="AX99" s="90" t="s">
        <v>185</v>
      </c>
      <c r="AY99" s="98" t="s">
        <v>196</v>
      </c>
      <c r="AZ99" s="49"/>
      <c r="BA99" s="92" t="s">
        <v>0</v>
      </c>
      <c r="BB99" s="97" t="s">
        <v>197</v>
      </c>
      <c r="BC99" s="49"/>
      <c r="BD99" s="93" t="s">
        <v>97</v>
      </c>
      <c r="BK99" s="53" t="str">
        <f>""</f>
        <v/>
      </c>
      <c r="BL99" s="461"/>
      <c r="BM99" s="462"/>
      <c r="BN99" s="462"/>
      <c r="BO99" s="67" t="str">
        <f ca="1"/>
        <v xml:space="preserve">Wave curtain  = </v>
      </c>
      <c r="BP99" s="68" t="s">
        <v>211</v>
      </c>
      <c r="BQ99" s="79" t="s">
        <v>13</v>
      </c>
      <c r="BR99" s="69"/>
      <c r="BS99" s="70"/>
    </row>
    <row r="100" spans="1:71" s="3" customFormat="1" ht="16.5" hidden="1" thickTop="1" thickBot="1" x14ac:dyDescent="0.3">
      <c r="AA100" s="28"/>
      <c r="AE100" s="236"/>
      <c r="AF100" s="237"/>
      <c r="AG100" s="237"/>
      <c r="AH100" s="237"/>
      <c r="AI100" s="237"/>
      <c r="AJ100" s="237"/>
      <c r="AK100" s="237"/>
      <c r="AL100" s="237"/>
      <c r="AM100" s="237"/>
      <c r="AN100" s="238"/>
      <c r="AP100" s="58"/>
      <c r="AQ100" s="72"/>
      <c r="AR100" s="99"/>
      <c r="AS100" s="99"/>
      <c r="AT100" s="99"/>
      <c r="AU100" s="99"/>
      <c r="AV100" s="72"/>
      <c r="AW100" s="72"/>
      <c r="AX100" s="6"/>
      <c r="AY100" s="73"/>
      <c r="AZ100" s="72"/>
      <c r="BA100" s="74"/>
      <c r="BB100" s="72"/>
      <c r="BC100" s="72"/>
      <c r="BD100" s="80"/>
      <c r="BK100" s="53" t="str">
        <f>""</f>
        <v/>
      </c>
      <c r="BL100" s="461"/>
      <c r="BM100" s="462"/>
      <c r="BN100" s="462"/>
      <c r="BO100" s="62" t="str">
        <f ca="1"/>
        <v>Radius bend</v>
      </c>
      <c r="BP100" s="63" t="s">
        <v>212</v>
      </c>
      <c r="BQ100" s="64" t="s">
        <v>8</v>
      </c>
      <c r="BR100" s="65"/>
      <c r="BS100" s="66"/>
    </row>
    <row r="101" spans="1:71" s="3" customFormat="1" ht="15.75" hidden="1" thickBot="1" x14ac:dyDescent="0.3">
      <c r="V101" s="110"/>
      <c r="W101" s="111"/>
      <c r="X101" s="112">
        <v>1</v>
      </c>
      <c r="Y101" s="112">
        <v>2</v>
      </c>
      <c r="Z101" s="112">
        <v>3</v>
      </c>
      <c r="AA101" s="110" t="s">
        <v>136</v>
      </c>
      <c r="AB101" s="113"/>
      <c r="AC101" s="111"/>
      <c r="AE101" s="535" t="s">
        <v>88</v>
      </c>
      <c r="AF101" s="536"/>
      <c r="AG101" s="536"/>
      <c r="AH101" s="536"/>
      <c r="AI101" s="244"/>
      <c r="AJ101" s="244"/>
      <c r="AK101" s="244"/>
      <c r="AL101" s="244"/>
      <c r="AM101" s="244"/>
      <c r="AN101" s="245"/>
      <c r="AP101" s="100"/>
      <c r="AQ101" s="101"/>
      <c r="AR101" s="101"/>
      <c r="AS101" s="101"/>
      <c r="AT101" s="102" t="s">
        <v>186</v>
      </c>
      <c r="AU101" s="101"/>
      <c r="AV101" s="101"/>
      <c r="AW101" s="101"/>
      <c r="AX101" s="101"/>
      <c r="AY101" s="100"/>
      <c r="AZ101" s="102" t="s">
        <v>187</v>
      </c>
      <c r="BA101" s="103"/>
      <c r="BB101" s="101"/>
      <c r="BC101" s="102" t="s">
        <v>188</v>
      </c>
      <c r="BD101" s="103"/>
      <c r="BK101" s="53" t="str">
        <f>""</f>
        <v/>
      </c>
      <c r="BL101" s="461"/>
      <c r="BM101" s="462"/>
      <c r="BN101" s="462"/>
      <c r="BO101" s="67" t="str">
        <f ca="1"/>
        <v xml:space="preserve">in cm           = </v>
      </c>
      <c r="BP101" s="68" t="s">
        <v>44</v>
      </c>
      <c r="BQ101" s="79" t="s">
        <v>10</v>
      </c>
      <c r="BR101" s="69"/>
      <c r="BS101" s="70"/>
    </row>
    <row r="102" spans="1:71" s="3" customFormat="1" ht="15.75" hidden="1" thickBot="1" x14ac:dyDescent="0.3">
      <c r="V102" s="116"/>
      <c r="W102" s="117"/>
      <c r="X102" s="118">
        <f>SUM(X103:X105)</f>
        <v>20</v>
      </c>
      <c r="Y102" s="118">
        <f t="shared" ref="Y102:Z102" si="11">SUM(Y103:Y105)</f>
        <v>0</v>
      </c>
      <c r="Z102" s="119">
        <f t="shared" si="11"/>
        <v>0</v>
      </c>
      <c r="AA102" s="117"/>
      <c r="AB102" s="117"/>
      <c r="AC102" s="120"/>
      <c r="AE102" s="499" t="s">
        <v>139</v>
      </c>
      <c r="AF102" s="274"/>
      <c r="AG102" s="274"/>
      <c r="AH102" s="452"/>
      <c r="AI102" s="451">
        <f ca="1">(X102+(S73/2))-(IF($F$29=BO139,$F$33/2,IF(OR($F$16=BO143,$F$16=BO144,$F$16=BO146,$F$16=BO148),M73,N73)))-$F$18</f>
        <v>12</v>
      </c>
      <c r="AJ102" s="452"/>
      <c r="AK102" s="274"/>
      <c r="AL102" s="452"/>
      <c r="AM102" s="274">
        <f ca="1">(X102+(S73/2))-(IF(F29=BO139,F33/2,IF(OR(F16=BO144,$F$16=BO146,$F$16=BO147),M73,N73)))-$F$18</f>
        <v>12</v>
      </c>
      <c r="AN102" s="275"/>
      <c r="BK102" s="53" t="str">
        <f>""</f>
        <v/>
      </c>
      <c r="BL102" s="461"/>
      <c r="BM102" s="462"/>
      <c r="BN102" s="462"/>
      <c r="BO102" s="62" t="str">
        <f ca="1"/>
        <v>Wave depth</v>
      </c>
      <c r="BP102" s="63" t="s">
        <v>213</v>
      </c>
      <c r="BQ102" s="65" t="s">
        <v>83</v>
      </c>
      <c r="BR102" s="65"/>
      <c r="BS102" s="66"/>
    </row>
    <row r="103" spans="1:71" s="3" customFormat="1" ht="15.75" hidden="1" thickTop="1" x14ac:dyDescent="0.25">
      <c r="V103" s="507">
        <v>9.5</v>
      </c>
      <c r="W103" s="508"/>
      <c r="X103" s="122">
        <f>IF($F$31=$W127,$V103,0)</f>
        <v>0</v>
      </c>
      <c r="Y103" s="122">
        <f>IF($F$42=$W127,$V103,0)</f>
        <v>0</v>
      </c>
      <c r="Z103" s="123">
        <f>IF($F$53=$W127,$V103,0)</f>
        <v>0</v>
      </c>
      <c r="AA103" s="374" t="s">
        <v>133</v>
      </c>
      <c r="AB103" s="374"/>
      <c r="AC103" s="444"/>
      <c r="AE103" s="500" t="s">
        <v>256</v>
      </c>
      <c r="AF103" s="269"/>
      <c r="AG103" s="269"/>
      <c r="AH103" s="268"/>
      <c r="AI103" s="267">
        <f ca="1">AI102*COS(RADIANS(AI80))</f>
        <v>8.4852813742385713</v>
      </c>
      <c r="AJ103" s="268"/>
      <c r="AK103" s="269"/>
      <c r="AL103" s="268"/>
      <c r="AM103" s="269">
        <f ca="1">AM102*COS(RADIANS(AM80))</f>
        <v>7.3508907294517201E-16</v>
      </c>
      <c r="AN103" s="453"/>
      <c r="AU103" s="3" t="s">
        <v>96</v>
      </c>
      <c r="AV103" s="3" t="s">
        <v>114</v>
      </c>
      <c r="AW103" s="3" t="s">
        <v>0</v>
      </c>
      <c r="AY103" s="7" t="s">
        <v>177</v>
      </c>
      <c r="AZ103" s="105">
        <f ca="1">IF(H115=1,0,IF(AV104=1,1,0))</f>
        <v>1</v>
      </c>
      <c r="BA103" s="7" t="s">
        <v>96</v>
      </c>
      <c r="BB103" s="106">
        <f ca="1">IF(H115=1,0,IF(AW105=1,1,0))</f>
        <v>0</v>
      </c>
      <c r="BC103" s="107" t="s">
        <v>189</v>
      </c>
      <c r="BD103" s="108">
        <f ca="1">IF(H115=1,0,IF(AND(AU104=1,AU105=0),1,0))</f>
        <v>1</v>
      </c>
      <c r="BK103" s="53" t="str">
        <f>""</f>
        <v/>
      </c>
      <c r="BL103" s="475"/>
      <c r="BM103" s="476"/>
      <c r="BN103" s="476"/>
      <c r="BO103" s="67" t="str">
        <f ca="1"/>
        <v xml:space="preserve">in cm           = </v>
      </c>
      <c r="BP103" s="68" t="s">
        <v>44</v>
      </c>
      <c r="BQ103" s="79" t="s">
        <v>10</v>
      </c>
      <c r="BR103" s="69"/>
      <c r="BS103" s="70"/>
    </row>
    <row r="104" spans="1:71" s="3" customFormat="1" ht="15.75" hidden="1" thickBot="1" x14ac:dyDescent="0.3">
      <c r="V104" s="445">
        <v>15</v>
      </c>
      <c r="W104" s="446"/>
      <c r="X104" s="122">
        <f>IF($F$31=$W128,$V104,0)</f>
        <v>0</v>
      </c>
      <c r="Y104" s="122">
        <f>IF($F$42=$W128,$V104,0)</f>
        <v>0</v>
      </c>
      <c r="Z104" s="123">
        <f>IF($F$53=$W128,$V104,0)</f>
        <v>0</v>
      </c>
      <c r="AA104" s="374" t="s">
        <v>134</v>
      </c>
      <c r="AB104" s="374"/>
      <c r="AC104" s="444"/>
      <c r="AE104" s="501" t="s">
        <v>255</v>
      </c>
      <c r="AF104" s="492"/>
      <c r="AG104" s="492"/>
      <c r="AH104" s="491"/>
      <c r="AI104" s="490">
        <f ca="1">ROUNDUP((X102+(S73/2))-((IF($F$29=BO139,$F$33/2,IF(OR($F$16=BO143,$F$16=BO144,$F$16=BO146,$F$16=BO148),M73,N73))))-AI103,1)</f>
        <v>4.5999999999999996</v>
      </c>
      <c r="AJ104" s="491"/>
      <c r="AK104" s="492"/>
      <c r="AL104" s="491"/>
      <c r="AM104" s="492">
        <f ca="1">ROUNDUP((X102+(S73/2))-((IF($F$29=BO139,$F$33/2,IF(OR($F$16=BO144,$F$16=BO146,$F$16=BO147),M73,N73))))-AM103,1)</f>
        <v>13</v>
      </c>
      <c r="AN104" s="493"/>
      <c r="AS104" s="3">
        <f ca="1">Y107+Y108</f>
        <v>1</v>
      </c>
      <c r="AT104" s="3">
        <v>1</v>
      </c>
      <c r="AU104" s="114">
        <f ca="1">IF(H115=1,0,1)</f>
        <v>1</v>
      </c>
      <c r="AV104" s="114">
        <f ca="1">IF(H115=1,0,IF(AS104&gt;=1,IF(OR(F14=BO137,F14=BO138),1,0),0))</f>
        <v>1</v>
      </c>
      <c r="AW104" s="114">
        <f ca="1">IF(H115=1,0,IF(AS104&gt;=2,IF(F14=BO138,1,0),0))</f>
        <v>0</v>
      </c>
      <c r="AY104" s="7" t="s">
        <v>178</v>
      </c>
      <c r="AZ104" s="105">
        <f ca="1">IF(H115=1,0,IF(AW104=1,1,0))</f>
        <v>0</v>
      </c>
      <c r="BA104" s="7" t="s">
        <v>114</v>
      </c>
      <c r="BB104" s="115">
        <f ca="1">IF(H115=1,0,IF(AND(AU106=0,AU105=1),1,0))</f>
        <v>0</v>
      </c>
      <c r="BC104" s="7" t="s">
        <v>191</v>
      </c>
      <c r="BD104" s="115">
        <f ca="1">IF(H115=1,0,IF(AND(AV104=1,AV105=0),1,0))</f>
        <v>1</v>
      </c>
      <c r="BK104" s="53" t="str">
        <f>""</f>
        <v/>
      </c>
      <c r="BL104" s="407" t="s">
        <v>45</v>
      </c>
      <c r="BM104" s="408"/>
      <c r="BN104" s="409"/>
      <c r="BO104" s="62" t="str">
        <f ca="1"/>
        <v>Can't be empty</v>
      </c>
      <c r="BP104" s="63" t="s">
        <v>46</v>
      </c>
      <c r="BQ104" s="64" t="s">
        <v>22</v>
      </c>
      <c r="BR104" s="64"/>
      <c r="BS104" s="104"/>
    </row>
    <row r="105" spans="1:71" s="3" customFormat="1" ht="15.75" hidden="1" thickBot="1" x14ac:dyDescent="0.3">
      <c r="V105" s="433">
        <v>20</v>
      </c>
      <c r="W105" s="435"/>
      <c r="X105" s="125">
        <f>IF($F$31=$W129,$V105,0)</f>
        <v>20</v>
      </c>
      <c r="Y105" s="125">
        <f>IF($F$42=$W129,$V105,0)</f>
        <v>0</v>
      </c>
      <c r="Z105" s="126">
        <f>IF($F$53=$W129,$V105,0)</f>
        <v>0</v>
      </c>
      <c r="AA105" s="276" t="s">
        <v>135</v>
      </c>
      <c r="AB105" s="276"/>
      <c r="AC105" s="277"/>
      <c r="AE105" s="500" t="s">
        <v>116</v>
      </c>
      <c r="AF105" s="269"/>
      <c r="AG105" s="269"/>
      <c r="AH105" s="268"/>
      <c r="AI105" s="267">
        <f ca="1">IF(Y107=0,0,IF(F12=BO133,IF(OR(F16=BO141,F16=BO145,F16=BO147),AI104,F18),F18))</f>
        <v>4.5999999999999996</v>
      </c>
      <c r="AJ105" s="268"/>
      <c r="AK105" s="269">
        <f ca="1">IF(J145=0,0,IF(J159=0,IF(F29=BO140,0,IF(F14=BO136,F18,MAX(AI105,AM105))),F18))</f>
        <v>4.5999999999999996</v>
      </c>
      <c r="AL105" s="268"/>
      <c r="AM105" s="269">
        <f ca="1">IF(Y108=0,0,IF(F12=BO133,IF(OR(F16=BO142,F16=BO145,F16=BO148),AM104,F18),F18))</f>
        <v>0</v>
      </c>
      <c r="AN105" s="453"/>
      <c r="AT105" s="3">
        <v>2</v>
      </c>
      <c r="AU105" s="114">
        <f ca="1">IF(H115=1,0,IF(OR(F12=BO134,F12=BO135),1,0))</f>
        <v>0</v>
      </c>
      <c r="AV105" s="114">
        <f ca="1">IF(H115=1,0,IF(AS104&gt;=1,IF(OR(F12=BO134,F12=BO135),1,0),0))</f>
        <v>0</v>
      </c>
      <c r="AW105" s="114">
        <f ca="1">IF(H115=1,0,IF(AS104&gt;=2,IF(OR(F12=BO134,F12=BO135),1,0),0))</f>
        <v>0</v>
      </c>
      <c r="AY105" s="7" t="s">
        <v>1</v>
      </c>
      <c r="AZ105" s="121">
        <f ca="1">IF(H115=1,0,IF(AND(AU104=1,AV104=0),1,0))</f>
        <v>0</v>
      </c>
      <c r="BA105" s="7" t="s">
        <v>182</v>
      </c>
      <c r="BB105" s="115">
        <f ca="1">IF(H115=1,0,IF(AND(AV105=1,AV106=0),1,0))</f>
        <v>0</v>
      </c>
      <c r="BC105" s="7" t="s">
        <v>190</v>
      </c>
      <c r="BD105" s="115">
        <f ca="1">IF(H115=1,0,IF(AND(AW104=1,AW105=0),1,0))</f>
        <v>0</v>
      </c>
      <c r="BK105" s="53" t="str">
        <f>""</f>
        <v/>
      </c>
      <c r="BL105" s="410"/>
      <c r="BM105" s="411"/>
      <c r="BN105" s="412"/>
      <c r="BO105" s="75" t="str">
        <f ca="1"/>
        <v>Wrong language</v>
      </c>
      <c r="BP105" s="94" t="s">
        <v>57</v>
      </c>
      <c r="BQ105" s="31" t="s">
        <v>58</v>
      </c>
      <c r="BR105" s="31"/>
      <c r="BS105" s="109"/>
    </row>
    <row r="106" spans="1:71" s="3" customFormat="1" ht="15.75" hidden="1" customHeight="1" thickBot="1" x14ac:dyDescent="0.3">
      <c r="AE106" s="500" t="s">
        <v>95</v>
      </c>
      <c r="AF106" s="269"/>
      <c r="AG106" s="269"/>
      <c r="AH106" s="268"/>
      <c r="AI106" s="267">
        <f ca="1">IF(Y107=0,0,IF(F29=BO139,F33/2,N73))</f>
        <v>8</v>
      </c>
      <c r="AJ106" s="268"/>
      <c r="AK106" s="269">
        <f ca="1">IF(F29=BO139,F33/2,N73)</f>
        <v>8</v>
      </c>
      <c r="AL106" s="268"/>
      <c r="AM106" s="269">
        <f ca="1">IF(Y108=0,0,IF(F29=BO139,F33/2,N73))</f>
        <v>0</v>
      </c>
      <c r="AN106" s="453"/>
      <c r="AT106" s="3">
        <v>3</v>
      </c>
      <c r="AU106" s="114">
        <f ca="1">IF(H115=1,0,IF(F12=BO135,1,0))</f>
        <v>0</v>
      </c>
      <c r="AV106" s="114">
        <f ca="1">IF(H115=1,0,IF(AS104&gt;=1,IF(F12=BO135,1,0),0))</f>
        <v>0</v>
      </c>
      <c r="AW106" s="114">
        <f ca="1">IF(H115=1,0,IF(AS104&gt;=2,IF(F12=BO135,1,0),0))</f>
        <v>0</v>
      </c>
      <c r="AY106" s="7" t="s">
        <v>2</v>
      </c>
      <c r="AZ106" s="121">
        <f ca="1">IF(H115=1,0,IF(AND(AV104=1,AW104=0),1,0))</f>
        <v>1</v>
      </c>
      <c r="BA106" s="7" t="s">
        <v>183</v>
      </c>
      <c r="BB106" s="115">
        <f ca="1">IF(H115=1,0,IF(AND(AW105=1,AW106=0),1,0))</f>
        <v>0</v>
      </c>
      <c r="BC106" s="7" t="s">
        <v>194</v>
      </c>
      <c r="BD106" s="115">
        <f ca="1">IF(H115=1,0,IF(AND(AU105=1,AU106=0),1,0))</f>
        <v>0</v>
      </c>
      <c r="BK106" s="53" t="str">
        <f>""</f>
        <v/>
      </c>
      <c r="BL106" s="410"/>
      <c r="BM106" s="411"/>
      <c r="BN106" s="412"/>
      <c r="BO106" s="75" t="str">
        <f ca="1"/>
        <v>Can't be text</v>
      </c>
      <c r="BP106" s="94" t="s">
        <v>51</v>
      </c>
      <c r="BQ106" s="31" t="s">
        <v>52</v>
      </c>
      <c r="BR106" s="31"/>
      <c r="BS106" s="109"/>
    </row>
    <row r="107" spans="1:71" s="3" customFormat="1" hidden="1" x14ac:dyDescent="0.25">
      <c r="V107" s="400" t="s">
        <v>143</v>
      </c>
      <c r="W107" s="401"/>
      <c r="X107" s="402"/>
      <c r="Y107" s="129">
        <f ca="1">IF(F14=BO136,0,IF(OR(F16=BO141,F16=BO143,F16=BO145,F16=BO146,F16=BO147,F16=BO148),1,0))</f>
        <v>1</v>
      </c>
      <c r="AE107" s="500" t="s">
        <v>94</v>
      </c>
      <c r="AF107" s="269"/>
      <c r="AG107" s="269"/>
      <c r="AH107" s="268"/>
      <c r="AI107" s="267">
        <f ca="1">IF(Y107=0,0,IF(F29=BO139,F33/2,M73))</f>
        <v>8</v>
      </c>
      <c r="AJ107" s="268"/>
      <c r="AK107" s="269">
        <f ca="1">IF(F29=BO139,F33/2,M73)</f>
        <v>8</v>
      </c>
      <c r="AL107" s="268"/>
      <c r="AM107" s="269">
        <f ca="1">IF(Y108=0,0,IF(F29=BO139,F33/2,M73))</f>
        <v>0</v>
      </c>
      <c r="AN107" s="453"/>
      <c r="AY107" s="7" t="s">
        <v>3</v>
      </c>
      <c r="AZ107" s="105">
        <f ca="1">IF(H115=1,0,IF(AW104=1,1,0))</f>
        <v>0</v>
      </c>
      <c r="BA107" s="7" t="s">
        <v>184</v>
      </c>
      <c r="BB107" s="106">
        <f ca="1">IF(H115=1,0,IF(AU106=1,1,0))</f>
        <v>0</v>
      </c>
      <c r="BC107" s="7" t="s">
        <v>193</v>
      </c>
      <c r="BD107" s="115">
        <f ca="1">IF(H115=1,0,IF(AND(AV105=1,AV106=0),1,0))</f>
        <v>0</v>
      </c>
      <c r="BK107" s="53" t="str">
        <f>""</f>
        <v/>
      </c>
      <c r="BL107" s="410"/>
      <c r="BM107" s="411"/>
      <c r="BN107" s="412"/>
      <c r="BO107" s="75" t="str">
        <f ca="1"/>
        <v>Value is too low</v>
      </c>
      <c r="BP107" s="94" t="s">
        <v>49</v>
      </c>
      <c r="BQ107" s="31" t="s">
        <v>50</v>
      </c>
      <c r="BR107" s="31"/>
      <c r="BS107" s="109"/>
    </row>
    <row r="108" spans="1:71" s="3" customFormat="1" ht="15.75" hidden="1" thickBot="1" x14ac:dyDescent="0.3">
      <c r="A108" s="28"/>
      <c r="B108" s="28"/>
      <c r="C108" s="28"/>
      <c r="D108" s="28"/>
      <c r="E108" s="28"/>
      <c r="F108" s="28"/>
      <c r="G108" s="28"/>
      <c r="H108" s="28"/>
      <c r="I108" s="208"/>
      <c r="V108" s="403" t="s">
        <v>144</v>
      </c>
      <c r="W108" s="276"/>
      <c r="X108" s="404"/>
      <c r="Y108" s="135">
        <f ca="1">IF(F14=BO136,0,IF(OR(F16=BO142,F16=BO144,F16=BO145,F16=BO146,F16=BO147,F16=BO148),1,0))</f>
        <v>0</v>
      </c>
      <c r="AE108" s="500" t="s">
        <v>115</v>
      </c>
      <c r="AF108" s="269"/>
      <c r="AG108" s="269"/>
      <c r="AH108" s="268"/>
      <c r="AI108" s="485">
        <f ca="1">IF(Y107=0,0,IF(OR(F16=BO143,F16=BO148,F16=BO146),AI104,F18))</f>
        <v>1</v>
      </c>
      <c r="AJ108" s="486"/>
      <c r="AK108" s="485">
        <f ca="1">IF(F14=BO136,F18,MAX(AI108,AM108))</f>
        <v>1</v>
      </c>
      <c r="AL108" s="486"/>
      <c r="AM108" s="485">
        <f ca="1">IF(Y108=0,0,IF(OR(F16=BO147,F16=BO144,F16=BO146),AM104,F18))</f>
        <v>0</v>
      </c>
      <c r="AN108" s="494"/>
      <c r="AY108" s="7" t="s">
        <v>4</v>
      </c>
      <c r="AZ108" s="121">
        <f ca="1">IF(H115=1,0,IF(AND(AU104=1,AU105=0),1,0))</f>
        <v>1</v>
      </c>
      <c r="BA108" s="7" t="s">
        <v>185</v>
      </c>
      <c r="BB108" s="115">
        <f ca="1">IF(H115=1,0,IF(AND(AU106=1,AV106=0),1,0))</f>
        <v>0</v>
      </c>
      <c r="BC108" s="7" t="s">
        <v>192</v>
      </c>
      <c r="BD108" s="115">
        <f ca="1">IF(H115=1,0,IF(AND(AW105=1,AW106=0),1,0))</f>
        <v>0</v>
      </c>
      <c r="BE108" s="5"/>
      <c r="BK108" s="53" t="str">
        <f>""</f>
        <v/>
      </c>
      <c r="BL108" s="410"/>
      <c r="BM108" s="411"/>
      <c r="BN108" s="412"/>
      <c r="BO108" s="75" t="str">
        <f ca="1"/>
        <v>Value is too high</v>
      </c>
      <c r="BP108" s="94" t="s">
        <v>47</v>
      </c>
      <c r="BQ108" s="31" t="s">
        <v>48</v>
      </c>
      <c r="BR108" s="31"/>
      <c r="BS108" s="109"/>
    </row>
    <row r="109" spans="1:71" s="3" customFormat="1" ht="16.5" hidden="1" thickTop="1" thickBot="1" x14ac:dyDescent="0.3">
      <c r="A109" s="28"/>
      <c r="B109" s="28"/>
      <c r="C109" s="28"/>
      <c r="D109" s="28"/>
      <c r="E109" s="28"/>
      <c r="F109" s="28"/>
      <c r="G109" s="28"/>
      <c r="H109" s="124"/>
      <c r="I109" s="208"/>
      <c r="AE109" s="533" t="s">
        <v>262</v>
      </c>
      <c r="AF109" s="534"/>
      <c r="AG109" s="534"/>
      <c r="AH109" s="534"/>
      <c r="AI109" s="460">
        <f ca="1">SUM(AI105:AJ108)</f>
        <v>21.6</v>
      </c>
      <c r="AJ109" s="460"/>
      <c r="AK109" s="460">
        <f ca="1">SUM(AK105:AL108)</f>
        <v>21.6</v>
      </c>
      <c r="AL109" s="460"/>
      <c r="AM109" s="460">
        <f ca="1">SUM(AM105:AN108)</f>
        <v>0</v>
      </c>
      <c r="AN109" s="480"/>
      <c r="AY109" s="7" t="s">
        <v>5</v>
      </c>
      <c r="AZ109" s="121">
        <f ca="1">IF(H115=1,0,IF(AND(AV104=1,AV105=0),1,0))</f>
        <v>1</v>
      </c>
      <c r="BA109" s="7" t="s">
        <v>0</v>
      </c>
      <c r="BB109" s="115">
        <f ca="1">IF(H115=1,0,IF(AND(AV106=1,AW106=0),1,0))</f>
        <v>0</v>
      </c>
      <c r="BC109" s="7" t="s">
        <v>195</v>
      </c>
      <c r="BD109" s="106">
        <f ca="1">IF(H115=1,0,IF(AU106=1,1,0))</f>
        <v>0</v>
      </c>
      <c r="BK109" s="53" t="str">
        <f>""</f>
        <v/>
      </c>
      <c r="BL109" s="410"/>
      <c r="BM109" s="411"/>
      <c r="BN109" s="412"/>
      <c r="BO109" s="75" t="str">
        <f ca="1"/>
        <v>Option not possible</v>
      </c>
      <c r="BP109" s="94" t="s">
        <v>53</v>
      </c>
      <c r="BQ109" s="31" t="s">
        <v>54</v>
      </c>
      <c r="BR109" s="31"/>
      <c r="BS109" s="109"/>
    </row>
    <row r="110" spans="1:71" s="3" customFormat="1" ht="15.75" hidden="1" thickBot="1" x14ac:dyDescent="0.3">
      <c r="A110" s="28"/>
      <c r="B110" s="28"/>
      <c r="C110" s="28"/>
      <c r="D110" s="28"/>
      <c r="E110" s="28"/>
      <c r="F110" s="28"/>
      <c r="G110" s="28"/>
      <c r="H110" s="416" t="s">
        <v>73</v>
      </c>
      <c r="I110" s="416" t="s">
        <v>72</v>
      </c>
      <c r="V110" s="417" t="s">
        <v>110</v>
      </c>
      <c r="W110" s="418"/>
      <c r="X110" s="418"/>
      <c r="Y110" s="418"/>
      <c r="Z110" s="418"/>
      <c r="AA110" s="418"/>
      <c r="AB110" s="418"/>
      <c r="AC110" s="419"/>
      <c r="AE110" s="498" t="s">
        <v>263</v>
      </c>
      <c r="AF110" s="481"/>
      <c r="AG110" s="481"/>
      <c r="AH110" s="481"/>
      <c r="AI110" s="481">
        <f ca="1">AI109+AI99+AI89</f>
        <v>21.6</v>
      </c>
      <c r="AJ110" s="481"/>
      <c r="AK110" s="481">
        <f ca="1">AK109+AK99+AK89</f>
        <v>21.6</v>
      </c>
      <c r="AL110" s="481"/>
      <c r="AM110" s="481">
        <f ca="1">AM109+AM99+AM89</f>
        <v>0</v>
      </c>
      <c r="AN110" s="482"/>
      <c r="AY110" s="7" t="s">
        <v>179</v>
      </c>
      <c r="AZ110" s="121">
        <f ca="1">IF(H115=1,0,IF(AND(AW104=1,AW105=0),1,0))</f>
        <v>0</v>
      </c>
      <c r="BA110" s="7" t="s">
        <v>97</v>
      </c>
      <c r="BB110" s="128">
        <f ca="1">IF(H115=1,0,IF(AW106=1,1,0))</f>
        <v>0</v>
      </c>
      <c r="BC110" s="7" t="s">
        <v>196</v>
      </c>
      <c r="BD110" s="106">
        <f ca="1">IF(H115=1,0,IF(AV106=1,1,0))</f>
        <v>0</v>
      </c>
      <c r="BK110" s="53" t="str">
        <f>""</f>
        <v/>
      </c>
      <c r="BL110" s="413"/>
      <c r="BM110" s="414"/>
      <c r="BN110" s="415"/>
      <c r="BO110" s="67" t="str">
        <f ca="1"/>
        <v>Does not exist</v>
      </c>
      <c r="BP110" s="127" t="s">
        <v>55</v>
      </c>
      <c r="BQ110" s="79" t="s">
        <v>56</v>
      </c>
      <c r="BR110" s="79"/>
      <c r="BS110" s="70"/>
    </row>
    <row r="111" spans="1:71" s="3" customFormat="1" ht="15" hidden="1" customHeight="1" thickTop="1" x14ac:dyDescent="0.25">
      <c r="A111" s="28"/>
      <c r="B111" s="28"/>
      <c r="C111" s="28"/>
      <c r="D111" s="28"/>
      <c r="E111" s="28"/>
      <c r="F111" s="28"/>
      <c r="G111" s="28"/>
      <c r="H111" s="416"/>
      <c r="I111" s="416"/>
      <c r="V111" s="181">
        <f ca="1">IF(F14=BO137,1,IF(F14=BO138,2,0))</f>
        <v>1</v>
      </c>
      <c r="W111" s="420" t="s">
        <v>111</v>
      </c>
      <c r="X111" s="421"/>
      <c r="Y111" s="421"/>
      <c r="Z111" s="421"/>
      <c r="AA111" s="421"/>
      <c r="AB111" s="421"/>
      <c r="AC111" s="422"/>
      <c r="AY111" s="7" t="s">
        <v>180</v>
      </c>
      <c r="AZ111" s="105">
        <f ca="1">IF(H115=1,0,IF(AU105=1,1,0))</f>
        <v>0</v>
      </c>
      <c r="BA111" s="7" t="s">
        <v>186</v>
      </c>
      <c r="BB111" s="106">
        <f ca="1">IF(H115=1,0,IF(AU106=1,1,0))</f>
        <v>0</v>
      </c>
      <c r="BC111" s="7" t="s">
        <v>197</v>
      </c>
      <c r="BD111" s="106">
        <f ca="1">IF(H115=1,0,IF(AW106=1,1,0))</f>
        <v>0</v>
      </c>
      <c r="BK111" s="53" t="str">
        <f>""</f>
        <v/>
      </c>
      <c r="BL111" s="407" t="s">
        <v>59</v>
      </c>
      <c r="BM111" s="408"/>
      <c r="BN111" s="409"/>
      <c r="BO111" s="62" t="str">
        <f ca="1"/>
        <v>All dimensions</v>
      </c>
      <c r="BP111" s="63" t="s">
        <v>249</v>
      </c>
      <c r="BQ111" s="65" t="s">
        <v>246</v>
      </c>
      <c r="BR111" s="65"/>
      <c r="BS111" s="66"/>
    </row>
    <row r="112" spans="1:71" s="3" customFormat="1" hidden="1" x14ac:dyDescent="0.25">
      <c r="A112" s="28"/>
      <c r="B112" s="28"/>
      <c r="C112" s="28"/>
      <c r="D112" s="28"/>
      <c r="E112" s="28"/>
      <c r="F112" s="28"/>
      <c r="G112" s="28"/>
      <c r="H112" s="416"/>
      <c r="I112" s="416"/>
      <c r="V112" s="181">
        <f ca="1">IF(V111=0,0,IF(F16=BO141,0,IF(F16=BO142,3,IF(F16=BO143,6,IF(F16=BO144,9,IF(F16=BO145,0,IF(F16=BO146,3,IF(F16=BO147,6,IF(F16=BO148,9,0)))))))))</f>
        <v>0</v>
      </c>
      <c r="W112" s="420" t="s">
        <v>112</v>
      </c>
      <c r="X112" s="421"/>
      <c r="Y112" s="421"/>
      <c r="Z112" s="421"/>
      <c r="AA112" s="421"/>
      <c r="AB112" s="421"/>
      <c r="AC112" s="422"/>
      <c r="AY112" s="7" t="s">
        <v>6</v>
      </c>
      <c r="AZ112" s="121">
        <f ca="1">IF(H115=1,0,IF(AND(AV105=0,AU105=1),1,0))</f>
        <v>0</v>
      </c>
      <c r="BA112" s="7" t="s">
        <v>187</v>
      </c>
      <c r="BB112" s="106">
        <f ca="1">IF(H115=1,0,IF(AV106=1,1,0))</f>
        <v>0</v>
      </c>
      <c r="BK112" s="53" t="str">
        <f>""</f>
        <v/>
      </c>
      <c r="BL112" s="410"/>
      <c r="BM112" s="411"/>
      <c r="BN112" s="412"/>
      <c r="BO112" s="67" t="str">
        <f ca="1"/>
        <v>Distance between tracks*</v>
      </c>
      <c r="BP112" s="68" t="s">
        <v>248</v>
      </c>
      <c r="BQ112" s="79" t="s">
        <v>247</v>
      </c>
      <c r="BR112" s="69"/>
      <c r="BS112" s="70"/>
    </row>
    <row r="113" spans="1:71" s="3" customFormat="1" ht="15.75" hidden="1" customHeight="1" thickBot="1" x14ac:dyDescent="0.3">
      <c r="A113" s="28"/>
      <c r="B113" s="28"/>
      <c r="C113" s="28"/>
      <c r="D113" s="28"/>
      <c r="E113" s="28"/>
      <c r="F113" s="28"/>
      <c r="G113" s="28"/>
      <c r="H113" s="416"/>
      <c r="I113" s="416"/>
      <c r="V113" s="182">
        <f ca="1">IF(F12=BO133,1,IF(F12=BO134,2,IF(F12=BO135,3,0)))</f>
        <v>1</v>
      </c>
      <c r="W113" s="464" t="s">
        <v>113</v>
      </c>
      <c r="X113" s="465"/>
      <c r="Y113" s="465"/>
      <c r="Z113" s="465"/>
      <c r="AA113" s="465"/>
      <c r="AB113" s="465"/>
      <c r="AC113" s="466"/>
      <c r="AY113" s="7" t="s">
        <v>181</v>
      </c>
      <c r="AZ113" s="121">
        <f ca="1">IF(H115=1,0,IF(AND(AV105=1,AW105=0),1,0))</f>
        <v>0</v>
      </c>
      <c r="BA113" s="7" t="s">
        <v>188</v>
      </c>
      <c r="BB113" s="106">
        <f ca="1">IF(H115=1,0,IF(AW106=1,1,0))</f>
        <v>0</v>
      </c>
      <c r="BK113" s="53" t="str">
        <f>""</f>
        <v/>
      </c>
      <c r="BL113" s="410"/>
      <c r="BM113" s="411"/>
      <c r="BN113" s="412"/>
      <c r="BO113" s="62" t="str">
        <f ca="1"/>
        <v>Left</v>
      </c>
      <c r="BP113" s="63" t="s">
        <v>198</v>
      </c>
      <c r="BQ113" s="65" t="s">
        <v>174</v>
      </c>
      <c r="BR113" s="65"/>
      <c r="BS113" s="66"/>
    </row>
    <row r="114" spans="1:71" s="3" customFormat="1" ht="15.75" hidden="1" thickBot="1" x14ac:dyDescent="0.3">
      <c r="A114" s="28"/>
      <c r="B114" s="28"/>
      <c r="C114" s="124"/>
      <c r="D114" s="124"/>
      <c r="E114" s="124"/>
      <c r="F114" s="124"/>
      <c r="G114" s="124"/>
      <c r="H114" s="416"/>
      <c r="I114" s="423"/>
      <c r="BK114" s="53" t="str">
        <f>""</f>
        <v/>
      </c>
      <c r="BL114" s="410"/>
      <c r="BM114" s="411"/>
      <c r="BN114" s="412"/>
      <c r="BO114" s="75" t="str">
        <f ca="1"/>
        <v>Centre</v>
      </c>
      <c r="BP114" s="94" t="s">
        <v>199</v>
      </c>
      <c r="BQ114" s="95" t="s">
        <v>175</v>
      </c>
      <c r="BR114" s="95"/>
      <c r="BS114" s="96"/>
    </row>
    <row r="115" spans="1:71" s="3" customFormat="1" ht="15.75" hidden="1" thickBot="1" x14ac:dyDescent="0.3">
      <c r="A115" s="130"/>
      <c r="B115" s="131"/>
      <c r="C115" s="396" t="s">
        <v>74</v>
      </c>
      <c r="D115" s="397"/>
      <c r="E115" s="397"/>
      <c r="F115" s="397"/>
      <c r="G115" s="397"/>
      <c r="H115" s="132">
        <f ca="1">IF(SUM(H116:H187)&gt;0,1,0)</f>
        <v>0</v>
      </c>
      <c r="I115" s="133">
        <f ca="1">SUM(I116:I123)</f>
        <v>0</v>
      </c>
      <c r="J115" s="134"/>
      <c r="BD115" s="5"/>
      <c r="BK115" s="53" t="str">
        <f>""</f>
        <v/>
      </c>
      <c r="BL115" s="410"/>
      <c r="BM115" s="411"/>
      <c r="BN115" s="412"/>
      <c r="BO115" s="67" t="str">
        <f ca="1"/>
        <v>Right</v>
      </c>
      <c r="BP115" s="68" t="s">
        <v>200</v>
      </c>
      <c r="BQ115" s="69" t="s">
        <v>176</v>
      </c>
      <c r="BR115" s="69"/>
      <c r="BS115" s="70"/>
    </row>
    <row r="116" spans="1:71" s="3" customFormat="1" hidden="1" x14ac:dyDescent="0.25">
      <c r="A116" s="467" t="s">
        <v>85</v>
      </c>
      <c r="B116" s="471"/>
      <c r="C116" s="398" t="s">
        <v>169</v>
      </c>
      <c r="D116" s="399"/>
      <c r="E116" s="399"/>
      <c r="F116" s="399"/>
      <c r="G116" s="399"/>
      <c r="H116" s="95"/>
      <c r="I116" s="136"/>
      <c r="J116" s="109">
        <f ca="1">IF(F14=BO136,1,0)</f>
        <v>0</v>
      </c>
      <c r="K116" s="11"/>
      <c r="L116" s="11"/>
      <c r="M116" s="11"/>
      <c r="BK116" s="53" t="str">
        <f>""</f>
        <v/>
      </c>
      <c r="BL116" s="410"/>
      <c r="BM116" s="411"/>
      <c r="BN116" s="412"/>
      <c r="BO116" s="62" t="str">
        <f ca="1"/>
        <v>Gap behind curtains</v>
      </c>
      <c r="BP116" s="63" t="s">
        <v>235</v>
      </c>
      <c r="BQ116" s="65" t="s">
        <v>241</v>
      </c>
      <c r="BR116" s="65"/>
      <c r="BS116" s="66"/>
    </row>
    <row r="117" spans="1:71" s="3" customFormat="1" hidden="1" x14ac:dyDescent="0.25">
      <c r="A117" s="467"/>
      <c r="B117" s="471"/>
      <c r="C117" s="398" t="s">
        <v>170</v>
      </c>
      <c r="D117" s="399"/>
      <c r="E117" s="399"/>
      <c r="F117" s="399"/>
      <c r="G117" s="399"/>
      <c r="H117" s="95"/>
      <c r="I117" s="136"/>
      <c r="J117" s="109">
        <f ca="1">IF(F29=BO140,1,0)</f>
        <v>0</v>
      </c>
      <c r="K117" s="137"/>
      <c r="L117" s="137"/>
      <c r="M117" s="137"/>
      <c r="X117" s="138"/>
      <c r="Y117" s="138"/>
      <c r="Z117" s="138"/>
      <c r="BB117" s="6"/>
      <c r="BK117" s="53" t="str">
        <f>""</f>
        <v/>
      </c>
      <c r="BL117" s="410"/>
      <c r="BM117" s="411"/>
      <c r="BN117" s="412"/>
      <c r="BO117" s="75" t="str">
        <f ca="1"/>
        <v>Gap between curtains</v>
      </c>
      <c r="BP117" s="94" t="s">
        <v>236</v>
      </c>
      <c r="BQ117" s="95" t="s">
        <v>240</v>
      </c>
      <c r="BR117" s="95"/>
      <c r="BS117" s="96"/>
    </row>
    <row r="118" spans="1:71" s="3" customFormat="1" hidden="1" x14ac:dyDescent="0.25">
      <c r="A118" s="467"/>
      <c r="B118" s="471"/>
      <c r="C118" s="398" t="s">
        <v>171</v>
      </c>
      <c r="D118" s="399"/>
      <c r="E118" s="399"/>
      <c r="F118" s="399"/>
      <c r="G118" s="399"/>
      <c r="H118" s="95"/>
      <c r="I118" s="136"/>
      <c r="J118" s="109">
        <f ca="1">IF(F40=BO140,1,0)</f>
        <v>0</v>
      </c>
      <c r="K118" s="28"/>
      <c r="L118" s="28"/>
      <c r="M118" s="28"/>
      <c r="W118" s="138"/>
      <c r="BK118" s="53" t="str">
        <f>""</f>
        <v/>
      </c>
      <c r="BL118" s="410"/>
      <c r="BM118" s="411"/>
      <c r="BN118" s="412"/>
      <c r="BO118" s="67" t="str">
        <f ca="1"/>
        <v>Gap in front curtains</v>
      </c>
      <c r="BP118" s="68" t="s">
        <v>237</v>
      </c>
      <c r="BQ118" s="69" t="s">
        <v>242</v>
      </c>
      <c r="BR118" s="69"/>
      <c r="BS118" s="70"/>
    </row>
    <row r="119" spans="1:71" s="3" customFormat="1" hidden="1" x14ac:dyDescent="0.25">
      <c r="A119" s="467"/>
      <c r="B119" s="471"/>
      <c r="C119" s="398" t="s">
        <v>172</v>
      </c>
      <c r="D119" s="399"/>
      <c r="E119" s="399"/>
      <c r="F119" s="399"/>
      <c r="G119" s="399"/>
      <c r="H119" s="95"/>
      <c r="I119" s="136"/>
      <c r="J119" s="109">
        <f ca="1">IF(F50=BO139,1,0)</f>
        <v>0</v>
      </c>
      <c r="K119" s="137"/>
      <c r="L119" s="137"/>
      <c r="M119" s="137"/>
      <c r="N119" s="28"/>
      <c r="O119" s="28"/>
      <c r="P119" s="28"/>
      <c r="Q119" s="28"/>
      <c r="R119" s="28"/>
      <c r="S119"/>
      <c r="BK119" s="53" t="str">
        <f>""</f>
        <v/>
      </c>
      <c r="BL119" s="410"/>
      <c r="BM119" s="411"/>
      <c r="BN119" s="412"/>
      <c r="BO119" s="62" t="str">
        <f ca="1"/>
        <v>Distance behind track</v>
      </c>
      <c r="BP119" s="63" t="s">
        <v>201</v>
      </c>
      <c r="BQ119" s="65" t="s">
        <v>105</v>
      </c>
      <c r="BR119" s="65"/>
      <c r="BS119" s="66"/>
    </row>
    <row r="120" spans="1:71" s="3" customFormat="1" ht="15" hidden="1" customHeight="1" x14ac:dyDescent="0.25">
      <c r="A120" s="467"/>
      <c r="B120" s="471"/>
      <c r="C120" s="398" t="s">
        <v>86</v>
      </c>
      <c r="D120" s="399"/>
      <c r="E120" s="399"/>
      <c r="F120" s="399"/>
      <c r="G120" s="399"/>
      <c r="H120" s="139"/>
      <c r="I120" s="136"/>
      <c r="J120" s="109"/>
      <c r="K120" s="28"/>
      <c r="L120" s="28"/>
      <c r="M120" s="28"/>
      <c r="N120" s="28"/>
      <c r="O120" s="28"/>
      <c r="P120" s="28"/>
      <c r="Q120" s="28"/>
      <c r="R120"/>
      <c r="S120"/>
      <c r="BK120" s="53" t="str">
        <f>""</f>
        <v/>
      </c>
      <c r="BL120" s="410"/>
      <c r="BM120" s="411"/>
      <c r="BN120" s="412"/>
      <c r="BO120" s="67" t="str">
        <f ca="1"/>
        <v>Distance in front track</v>
      </c>
      <c r="BP120" s="68" t="s">
        <v>202</v>
      </c>
      <c r="BQ120" s="69" t="s">
        <v>106</v>
      </c>
      <c r="BR120" s="69"/>
      <c r="BS120" s="70"/>
    </row>
    <row r="121" spans="1:71" s="3" customFormat="1" hidden="1" x14ac:dyDescent="0.25">
      <c r="A121" s="467"/>
      <c r="B121" s="471"/>
      <c r="C121" s="398" t="s">
        <v>265</v>
      </c>
      <c r="D121" s="399"/>
      <c r="E121" s="399"/>
      <c r="F121" s="399"/>
      <c r="G121" s="447"/>
      <c r="H121" s="143"/>
      <c r="I121" s="3">
        <f ca="1">AX126</f>
        <v>0</v>
      </c>
      <c r="J121" s="140"/>
      <c r="K121" s="137"/>
      <c r="L121" s="137"/>
      <c r="M121" s="137"/>
      <c r="N121" s="28"/>
      <c r="O121" s="28"/>
      <c r="P121" s="28"/>
      <c r="Q121" s="28"/>
      <c r="R121" s="28"/>
      <c r="S121"/>
      <c r="BK121" s="53" t="str">
        <f>""</f>
        <v/>
      </c>
      <c r="BL121" s="410"/>
      <c r="BM121" s="411"/>
      <c r="BN121" s="412"/>
      <c r="BO121" s="54" t="str">
        <f ca="1"/>
        <v>Minimal space Pelmet</v>
      </c>
      <c r="BP121" s="55" t="s">
        <v>253</v>
      </c>
      <c r="BQ121" s="56" t="s">
        <v>104</v>
      </c>
      <c r="BR121" s="56"/>
      <c r="BS121" s="57"/>
    </row>
    <row r="122" spans="1:71" s="3" customFormat="1" hidden="1" x14ac:dyDescent="0.25">
      <c r="A122" s="467"/>
      <c r="B122" s="471"/>
      <c r="C122" s="398" t="s">
        <v>264</v>
      </c>
      <c r="D122" s="399"/>
      <c r="E122" s="399"/>
      <c r="F122" s="399"/>
      <c r="G122" s="447"/>
      <c r="H122" s="143"/>
      <c r="I122" s="3">
        <f ca="1">AM126</f>
        <v>0</v>
      </c>
      <c r="J122" s="140"/>
      <c r="K122" s="28"/>
      <c r="L122" s="28"/>
      <c r="M122" s="28"/>
      <c r="N122" s="28"/>
      <c r="O122" s="28"/>
      <c r="P122" s="28"/>
      <c r="Q122" s="28"/>
      <c r="R122"/>
      <c r="S122"/>
      <c r="BK122" s="53" t="str">
        <f>""</f>
        <v/>
      </c>
      <c r="BL122" s="413"/>
      <c r="BM122" s="414"/>
      <c r="BN122" s="415"/>
      <c r="BO122" s="67" t="str">
        <f ca="1"/>
        <v>Visible side</v>
      </c>
      <c r="BP122" s="68" t="s">
        <v>251</v>
      </c>
      <c r="BQ122" s="69" t="s">
        <v>252</v>
      </c>
      <c r="BR122" s="69"/>
      <c r="BS122" s="70"/>
    </row>
    <row r="123" spans="1:71" s="3" customFormat="1" ht="16.5" hidden="1" thickBot="1" x14ac:dyDescent="0.3">
      <c r="A123" s="469"/>
      <c r="B123" s="472"/>
      <c r="C123" s="448"/>
      <c r="D123" s="449"/>
      <c r="E123" s="449"/>
      <c r="F123" s="449"/>
      <c r="G123" s="450"/>
      <c r="H123" s="144"/>
      <c r="I123" s="145"/>
      <c r="J123" s="146"/>
      <c r="K123" s="28"/>
      <c r="L123" s="28"/>
      <c r="M123" s="28"/>
      <c r="N123" s="28"/>
      <c r="O123" s="28"/>
      <c r="P123" s="28"/>
      <c r="Q123" s="28"/>
      <c r="R123" s="28"/>
      <c r="S123" s="28"/>
      <c r="BK123" s="53" t="str">
        <f>""</f>
        <v/>
      </c>
      <c r="BL123" s="141"/>
      <c r="BM123" s="142"/>
      <c r="BN123" s="142"/>
      <c r="BO123" s="62">
        <f ca="1"/>
        <v>0</v>
      </c>
      <c r="BP123" s="63"/>
      <c r="BQ123" s="65"/>
      <c r="BR123" s="65"/>
      <c r="BS123" s="66"/>
    </row>
    <row r="124" spans="1:71" s="3" customFormat="1" ht="15.75" hidden="1" thickBot="1" x14ac:dyDescent="0.3">
      <c r="A124" s="147"/>
      <c r="B124" s="147"/>
      <c r="C124" s="11"/>
      <c r="D124" s="11"/>
      <c r="E124" s="11"/>
      <c r="F124" s="11"/>
      <c r="G124" s="11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9"/>
      <c r="S124" s="148"/>
      <c r="BK124" s="53" t="str">
        <f>""</f>
        <v/>
      </c>
      <c r="BL124" s="141"/>
      <c r="BM124" s="142"/>
      <c r="BN124" s="142"/>
      <c r="BO124" s="75">
        <f ca="1"/>
        <v>0</v>
      </c>
      <c r="BP124" s="94"/>
      <c r="BQ124" s="95"/>
      <c r="BR124" s="95"/>
      <c r="BS124" s="96"/>
    </row>
    <row r="125" spans="1:71" s="3" customFormat="1" ht="15.75" hidden="1" thickBot="1" x14ac:dyDescent="0.3">
      <c r="A125" s="427" t="s">
        <v>118</v>
      </c>
      <c r="B125" s="428"/>
      <c r="C125" s="425" t="s">
        <v>75</v>
      </c>
      <c r="D125" s="426"/>
      <c r="E125" s="426"/>
      <c r="F125" s="426"/>
      <c r="G125" s="426"/>
      <c r="H125" s="149">
        <f>IF(F12="",1,0)</f>
        <v>0</v>
      </c>
      <c r="I125" s="150"/>
      <c r="Q125" s="28"/>
      <c r="R125" s="28"/>
      <c r="S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62"/>
      <c r="AG125" s="162"/>
      <c r="AH125" s="162"/>
      <c r="AI125" s="406" t="s">
        <v>153</v>
      </c>
      <c r="AJ125" s="406"/>
      <c r="AK125" s="406"/>
      <c r="AL125" s="406"/>
      <c r="AM125" s="406"/>
      <c r="AQ125" s="435" t="s">
        <v>35</v>
      </c>
      <c r="AR125" s="435"/>
      <c r="AS125" s="435"/>
      <c r="AT125" s="435"/>
      <c r="AU125" s="435"/>
      <c r="AV125" s="435"/>
      <c r="AW125"/>
      <c r="AX125" s="436" t="s">
        <v>36</v>
      </c>
      <c r="AY125" s="436"/>
      <c r="AZ125" s="436"/>
      <c r="BA125" s="436"/>
      <c r="BB125" s="436"/>
      <c r="BC125" s="436"/>
      <c r="BK125" s="53" t="str">
        <f>""</f>
        <v/>
      </c>
      <c r="BL125" s="141"/>
      <c r="BM125" s="142"/>
      <c r="BN125" s="142"/>
      <c r="BO125" s="75">
        <f ca="1"/>
        <v>0</v>
      </c>
      <c r="BP125" s="94"/>
      <c r="BQ125" s="95"/>
      <c r="BR125" s="95"/>
      <c r="BS125" s="96"/>
    </row>
    <row r="126" spans="1:71" s="3" customFormat="1" ht="16.5" hidden="1" thickTop="1" thickBot="1" x14ac:dyDescent="0.3">
      <c r="A126" s="429"/>
      <c r="B126" s="430"/>
      <c r="C126" s="433" t="s">
        <v>58</v>
      </c>
      <c r="D126" s="435"/>
      <c r="E126" s="435"/>
      <c r="F126" s="435"/>
      <c r="G126" s="435"/>
      <c r="H126" s="151">
        <f ca="1">IF(ISERROR(J126),1,0)</f>
        <v>0</v>
      </c>
      <c r="I126" s="146"/>
      <c r="J126" s="441" t="str">
        <f ca="1">VLOOKUP(F12,BO133:BO135,1,FALSE)</f>
        <v>1 track</v>
      </c>
      <c r="K126" s="374"/>
      <c r="L126" s="374"/>
      <c r="M126" s="374"/>
      <c r="Q126" s="28"/>
      <c r="R126" s="28"/>
      <c r="S126" s="28"/>
      <c r="W126" s="405" t="s">
        <v>152</v>
      </c>
      <c r="X126" s="405"/>
      <c r="Y126" s="405"/>
      <c r="Z126" s="405"/>
      <c r="AA126" s="405"/>
      <c r="AB126" s="28"/>
      <c r="AC126" s="406" t="s">
        <v>151</v>
      </c>
      <c r="AD126" s="406"/>
      <c r="AE126" s="406"/>
      <c r="AF126" s="406"/>
      <c r="AG126" s="406"/>
      <c r="AH126" s="162"/>
      <c r="AI126" s="433" t="s">
        <v>37</v>
      </c>
      <c r="AJ126" s="435"/>
      <c r="AK126" s="435"/>
      <c r="AL126" s="434"/>
      <c r="AM126" s="163">
        <f ca="1">IF(ISERROR(AI127),1,0)</f>
        <v>0</v>
      </c>
      <c r="AQ126" s="183" t="str" cm="1">
        <f t="array" aca="1" ref="AQ126:AQ134" ca="1">IF(AX126=1,IF(J116=1,BO157:BO170,BO157:BO165),IF(J116=1,AX127:AX140,AX127:AX135))</f>
        <v>CCS</v>
      </c>
      <c r="AR126" s="184"/>
      <c r="AS126" s="184"/>
      <c r="AT126" s="184"/>
      <c r="AU126" s="185"/>
      <c r="AV126" s="186"/>
      <c r="AW126"/>
      <c r="AX126" s="187">
        <f ca="1">IF(ISERROR(AX127),1,0)</f>
        <v>0</v>
      </c>
      <c r="AY126" s="487" t="s">
        <v>37</v>
      </c>
      <c r="AZ126" s="488"/>
      <c r="BA126" s="488"/>
      <c r="BB126" s="488"/>
      <c r="BC126" s="489"/>
      <c r="BK126" s="53" t="str">
        <f>""</f>
        <v/>
      </c>
      <c r="BL126" s="141"/>
      <c r="BM126" s="142"/>
      <c r="BN126" s="142"/>
      <c r="BO126" s="67">
        <f ca="1"/>
        <v>0</v>
      </c>
      <c r="BP126" s="68"/>
      <c r="BQ126" s="69"/>
      <c r="BR126" s="69"/>
      <c r="BS126" s="70"/>
    </row>
    <row r="127" spans="1:71" s="3" customFormat="1" ht="15.75" hidden="1" thickTop="1" x14ac:dyDescent="0.25">
      <c r="A127" s="454" t="s">
        <v>119</v>
      </c>
      <c r="B127" s="455"/>
      <c r="C127" s="425" t="s">
        <v>75</v>
      </c>
      <c r="D127" s="426"/>
      <c r="E127" s="426"/>
      <c r="F127" s="426"/>
      <c r="G127" s="426"/>
      <c r="H127" s="95">
        <f>IF(F14="",1,0)</f>
        <v>0</v>
      </c>
      <c r="I127" s="140"/>
      <c r="Q127" s="28"/>
      <c r="R127" s="28"/>
      <c r="S127" s="28"/>
      <c r="W127" s="461" t="s">
        <v>16</v>
      </c>
      <c r="X127" s="462"/>
      <c r="Y127" s="462"/>
      <c r="Z127" s="462"/>
      <c r="AA127" s="463"/>
      <c r="AB127" s="28"/>
      <c r="AC127" s="165" t="str">
        <f ca="1">IF(P73=1,W127,"")</f>
        <v/>
      </c>
      <c r="AD127" s="166"/>
      <c r="AE127" s="167" t="str" cm="1">
        <f t="array" aca="1" ref="AE127:AE129" ca="1">IF($AM$126=1,AC127:AC129,AI127:AI129)</f>
        <v/>
      </c>
      <c r="AF127" s="167"/>
      <c r="AG127" s="168"/>
      <c r="AH127"/>
      <c r="AI127" s="94" t="str" cm="1">
        <f t="array" aca="1" ref="AI127:AI129" ca="1">_xlfn._xlws.SORT(AC127:AC129,,1)</f>
        <v/>
      </c>
      <c r="AJ127" s="28"/>
      <c r="AK127" s="28"/>
      <c r="AL127" s="28"/>
      <c r="AM127" s="109"/>
      <c r="AQ127" s="188" t="str">
        <f ca="1"/>
        <v>CKS</v>
      </c>
      <c r="AR127" s="147"/>
      <c r="AS127" s="147"/>
      <c r="AT127" s="147"/>
      <c r="AU127"/>
      <c r="AV127" s="189"/>
      <c r="AW127"/>
      <c r="AX127" s="190" t="str" cm="1">
        <f t="array" aca="1" ref="AX127:AX135" ca="1">IF(J116=1,_xlfn._xlws.SORT(BO157:BO170),_xlfn._xlws.SORT(BO157:BO165))</f>
        <v>CCS</v>
      </c>
      <c r="AY127" s="156"/>
      <c r="AZ127" s="156"/>
      <c r="BA127" s="156"/>
      <c r="BB127" s="156"/>
      <c r="BC127" s="157"/>
      <c r="BK127" s="53" t="str">
        <f>""</f>
        <v/>
      </c>
      <c r="BL127" s="141"/>
      <c r="BM127" s="142"/>
      <c r="BN127" s="142"/>
      <c r="BO127" s="62">
        <f ca="1"/>
        <v>0</v>
      </c>
      <c r="BP127" s="63"/>
      <c r="BQ127" s="65"/>
      <c r="BR127" s="65"/>
      <c r="BS127" s="66"/>
    </row>
    <row r="128" spans="1:71" s="3" customFormat="1" ht="15.75" hidden="1" thickBot="1" x14ac:dyDescent="0.3">
      <c r="A128" s="456"/>
      <c r="B128" s="457"/>
      <c r="C128" s="433" t="s">
        <v>58</v>
      </c>
      <c r="D128" s="435"/>
      <c r="E128" s="435"/>
      <c r="F128" s="435"/>
      <c r="G128" s="435"/>
      <c r="H128" s="151">
        <f ca="1">IF(ISERROR(J128),1,0)</f>
        <v>0</v>
      </c>
      <c r="I128" s="146"/>
      <c r="J128" s="441" t="str">
        <f ca="1">VLOOKUP(F14,BO136:BO138,1,FALSE)</f>
        <v>1 Bend</v>
      </c>
      <c r="K128" s="374"/>
      <c r="L128" s="374"/>
      <c r="M128" s="374"/>
      <c r="Q128" s="28"/>
      <c r="R128"/>
      <c r="S128"/>
      <c r="W128" s="461" t="s">
        <v>17</v>
      </c>
      <c r="X128" s="462"/>
      <c r="Y128" s="462"/>
      <c r="Z128" s="462"/>
      <c r="AA128" s="463"/>
      <c r="AB128" s="28"/>
      <c r="AC128" s="169" t="str">
        <f ca="1">IF(Q73=1,W128,"")</f>
        <v/>
      </c>
      <c r="AD128" s="170"/>
      <c r="AE128" s="28" t="str">
        <f ca="1"/>
        <v/>
      </c>
      <c r="AF128" s="28"/>
      <c r="AG128" s="109"/>
      <c r="AH128"/>
      <c r="AI128" s="94" t="str">
        <f ca="1"/>
        <v/>
      </c>
      <c r="AJ128" s="28"/>
      <c r="AK128" s="28"/>
      <c r="AL128" s="28"/>
      <c r="AM128" s="109"/>
      <c r="AQ128" s="94" t="str">
        <f ca="1"/>
        <v>CRS Corded</v>
      </c>
      <c r="AR128" s="28"/>
      <c r="AS128" s="28"/>
      <c r="AT128" s="28"/>
      <c r="AU128" s="28"/>
      <c r="AV128" s="109"/>
      <c r="AW128" s="28"/>
      <c r="AX128" s="94" t="str">
        <f ca="1"/>
        <v>CKS</v>
      </c>
      <c r="AY128" s="28"/>
      <c r="AZ128" s="28"/>
      <c r="BA128" s="28"/>
      <c r="BB128" s="28"/>
      <c r="BC128" s="109"/>
      <c r="BK128" s="53" t="str">
        <f>""</f>
        <v/>
      </c>
      <c r="BL128" s="141"/>
      <c r="BM128" s="142"/>
      <c r="BN128" s="142"/>
      <c r="BO128" s="67">
        <f ca="1"/>
        <v>0</v>
      </c>
      <c r="BP128" s="68"/>
      <c r="BQ128" s="69"/>
      <c r="BR128" s="69"/>
      <c r="BS128" s="70"/>
    </row>
    <row r="129" spans="1:71" s="3" customFormat="1" ht="15" hidden="1" customHeight="1" thickBot="1" x14ac:dyDescent="0.3">
      <c r="A129" s="458" t="s">
        <v>120</v>
      </c>
      <c r="B129" s="458"/>
      <c r="C129" s="425" t="s">
        <v>75</v>
      </c>
      <c r="D129" s="426"/>
      <c r="E129" s="426"/>
      <c r="F129" s="426"/>
      <c r="G129" s="426"/>
      <c r="H129" s="95">
        <f ca="1">IF(J116=1,0,IF(F16="",1,0))</f>
        <v>0</v>
      </c>
      <c r="I129" s="152"/>
      <c r="Q129" s="28"/>
      <c r="R129" s="28"/>
      <c r="S129" s="28"/>
      <c r="W129" s="477" t="s">
        <v>18</v>
      </c>
      <c r="X129" s="478"/>
      <c r="Y129" s="478"/>
      <c r="Z129" s="478"/>
      <c r="AA129" s="479"/>
      <c r="AB129" s="28"/>
      <c r="AC129" s="171" t="str">
        <f ca="1">IF(R73=1,W129,"")</f>
        <v>20 cm</v>
      </c>
      <c r="AD129" s="172"/>
      <c r="AE129" s="173" t="str">
        <f ca="1"/>
        <v>20 cm</v>
      </c>
      <c r="AF129" s="173"/>
      <c r="AG129" s="174"/>
      <c r="AH129" s="28"/>
      <c r="AI129" s="175" t="str">
        <f ca="1"/>
        <v>20 cm</v>
      </c>
      <c r="AJ129" s="173"/>
      <c r="AK129" s="173"/>
      <c r="AL129" s="173"/>
      <c r="AM129" s="174"/>
      <c r="AQ129" s="94" t="str">
        <f ca="1"/>
        <v>CS</v>
      </c>
      <c r="AR129" s="28"/>
      <c r="AS129" s="28"/>
      <c r="AT129" s="28"/>
      <c r="AU129" s="28"/>
      <c r="AV129" s="109"/>
      <c r="AW129" s="28"/>
      <c r="AX129" s="94" t="str">
        <f ca="1"/>
        <v>CRS Corded</v>
      </c>
      <c r="AY129" s="28"/>
      <c r="AZ129" s="28"/>
      <c r="BA129" s="28"/>
      <c r="BB129" s="28"/>
      <c r="BC129" s="109"/>
      <c r="BK129" s="53" t="str">
        <f>""</f>
        <v/>
      </c>
      <c r="BL129" s="141"/>
      <c r="BM129" s="142"/>
      <c r="BN129" s="142"/>
      <c r="BO129" s="54">
        <f ca="1"/>
        <v>0</v>
      </c>
      <c r="BP129" s="55"/>
      <c r="BQ129" s="56"/>
      <c r="BR129" s="56"/>
      <c r="BS129" s="57"/>
    </row>
    <row r="130" spans="1:71" s="3" customFormat="1" ht="15.75" hidden="1" customHeight="1" thickTop="1" x14ac:dyDescent="0.25">
      <c r="A130" s="411"/>
      <c r="B130" s="411"/>
      <c r="C130" s="398" t="s">
        <v>224</v>
      </c>
      <c r="D130" s="399"/>
      <c r="E130" s="399"/>
      <c r="F130" s="399"/>
      <c r="G130" s="399"/>
      <c r="H130" s="95">
        <f ca="1">IF(J116=1,0,IF(ISERROR(J130),0,1))</f>
        <v>0</v>
      </c>
      <c r="I130" s="140"/>
      <c r="J130" s="441" t="e">
        <f ca="1">IF(F14=BO137,VLOOKUP(F16,BO145:BO148,1,FALSE),VLOOKUP(F16,BO141:BO144,1,FALSE))</f>
        <v>#N/A</v>
      </c>
      <c r="K130" s="374"/>
      <c r="L130" s="374"/>
      <c r="M130" s="374"/>
      <c r="Q130" s="28"/>
      <c r="R130" s="28"/>
      <c r="S130" s="28"/>
      <c r="W130" s="461" t="s">
        <v>16</v>
      </c>
      <c r="X130" s="462"/>
      <c r="Y130" s="462"/>
      <c r="Z130" s="462"/>
      <c r="AA130" s="463"/>
      <c r="AB130" s="176"/>
      <c r="AC130" s="165" t="str">
        <f ca="1">IF(P74=1,W130,"")</f>
        <v/>
      </c>
      <c r="AD130" s="166"/>
      <c r="AE130" s="167" t="str" cm="1">
        <f t="array" aca="1" ref="AE130:AE132" ca="1">IF($AM$126=1,AC130:AC132,AI130:AI132)</f>
        <v/>
      </c>
      <c r="AG130" s="168"/>
      <c r="AH130" s="177"/>
      <c r="AI130" s="94" t="str" cm="1">
        <f t="array" aca="1" ref="AI130:AI132" ca="1">_xlfn._xlws.SORT(AC130:AC132,,1)</f>
        <v/>
      </c>
      <c r="AJ130" s="28"/>
      <c r="AK130" s="28"/>
      <c r="AL130" s="28"/>
      <c r="AM130" s="109"/>
      <c r="AQ130" s="94" t="str">
        <f ca="1"/>
        <v>FMS (Shuttle)</v>
      </c>
      <c r="AR130" s="28"/>
      <c r="AS130" s="28"/>
      <c r="AT130" s="28"/>
      <c r="AU130" s="28"/>
      <c r="AV130" s="109"/>
      <c r="AW130" s="28"/>
      <c r="AX130" s="94" t="str">
        <f ca="1"/>
        <v>CS</v>
      </c>
      <c r="AY130" s="28"/>
      <c r="AZ130" s="28"/>
      <c r="BA130" s="28"/>
      <c r="BB130" s="28"/>
      <c r="BC130" s="109"/>
      <c r="BK130" s="53" t="str">
        <f>""</f>
        <v/>
      </c>
      <c r="BL130" s="141"/>
      <c r="BM130" s="142"/>
      <c r="BN130" s="142"/>
      <c r="BO130" s="62">
        <f ca="1"/>
        <v>0</v>
      </c>
      <c r="BP130" s="63"/>
      <c r="BQ130" s="65"/>
      <c r="BR130" s="65"/>
      <c r="BS130" s="66"/>
    </row>
    <row r="131" spans="1:71" s="3" customFormat="1" ht="15.75" hidden="1" thickBot="1" x14ac:dyDescent="0.3">
      <c r="A131" s="459"/>
      <c r="B131" s="459"/>
      <c r="C131" s="431" t="s">
        <v>58</v>
      </c>
      <c r="D131" s="432"/>
      <c r="E131" s="432"/>
      <c r="F131" s="432"/>
      <c r="G131" s="432"/>
      <c r="H131" s="151">
        <f ca="1">IF(J116=1,0,IF(ISERROR(J131),1,0))</f>
        <v>0</v>
      </c>
      <c r="I131" s="146"/>
      <c r="J131" s="441" t="str">
        <f ca="1">IF(F14=BO137,VLOOKUP(F16,BO141:BO144,1,FALSE),VLOOKUP(F16,BO145:BO148,1,FALSE))</f>
        <v>Shape L</v>
      </c>
      <c r="K131" s="374"/>
      <c r="L131" s="374"/>
      <c r="M131" s="374"/>
      <c r="Q131" s="28"/>
      <c r="R131" s="28"/>
      <c r="S131" s="28"/>
      <c r="W131" s="461" t="s">
        <v>17</v>
      </c>
      <c r="X131" s="462"/>
      <c r="Y131" s="462"/>
      <c r="Z131" s="462"/>
      <c r="AA131" s="463"/>
      <c r="AB131" s="176"/>
      <c r="AC131" s="169" t="str">
        <f ca="1">IF(Q74=1,W131,"")</f>
        <v/>
      </c>
      <c r="AD131" s="170"/>
      <c r="AE131" s="28" t="str">
        <f ca="1"/>
        <v/>
      </c>
      <c r="AF131" s="28"/>
      <c r="AG131" s="109"/>
      <c r="AH131" s="177"/>
      <c r="AI131" s="94" t="str">
        <f ca="1"/>
        <v/>
      </c>
      <c r="AJ131" s="28"/>
      <c r="AK131" s="28"/>
      <c r="AL131" s="28"/>
      <c r="AM131" s="109"/>
      <c r="AQ131" s="94" t="str">
        <f ca="1"/>
        <v xml:space="preserve">FMS Plus </v>
      </c>
      <c r="AR131" s="28"/>
      <c r="AS131" s="28"/>
      <c r="AT131" s="28"/>
      <c r="AU131" s="28"/>
      <c r="AV131" s="109"/>
      <c r="AW131" s="28"/>
      <c r="AX131" s="94" t="str">
        <f ca="1"/>
        <v>FMS (Shuttle)</v>
      </c>
      <c r="AY131" s="28"/>
      <c r="AZ131" s="28"/>
      <c r="BA131" s="28"/>
      <c r="BB131" s="28"/>
      <c r="BC131" s="109"/>
      <c r="BK131" s="53" t="str">
        <f>""</f>
        <v/>
      </c>
      <c r="BL131" s="141"/>
      <c r="BM131" s="142"/>
      <c r="BN131" s="142"/>
      <c r="BO131" s="75">
        <f ca="1"/>
        <v>0</v>
      </c>
      <c r="BP131" s="94"/>
      <c r="BQ131" s="95"/>
      <c r="BR131" s="95"/>
      <c r="BS131" s="96"/>
    </row>
    <row r="132" spans="1:71" s="3" customFormat="1" ht="15.75" hidden="1" thickBot="1" x14ac:dyDescent="0.3">
      <c r="A132" s="427" t="s">
        <v>70</v>
      </c>
      <c r="B132" s="428"/>
      <c r="C132" s="425" t="s">
        <v>75</v>
      </c>
      <c r="D132" s="426"/>
      <c r="E132" s="426"/>
      <c r="F132" s="426"/>
      <c r="G132" s="426"/>
      <c r="H132" s="95">
        <f>IF(F18="",1,0)</f>
        <v>0</v>
      </c>
      <c r="I132" s="140"/>
      <c r="J132" s="28"/>
      <c r="L132" s="28"/>
      <c r="M132" s="28"/>
      <c r="N132" s="28"/>
      <c r="O132" s="28"/>
      <c r="P132" s="28"/>
      <c r="Q132" s="28"/>
      <c r="R132"/>
      <c r="S132"/>
      <c r="W132" s="477" t="s">
        <v>18</v>
      </c>
      <c r="X132" s="478"/>
      <c r="Y132" s="478"/>
      <c r="Z132" s="478"/>
      <c r="AA132" s="479"/>
      <c r="AB132" s="176"/>
      <c r="AC132" s="171" t="str">
        <f ca="1">IF(R74=1,W132,"")</f>
        <v/>
      </c>
      <c r="AD132" s="172"/>
      <c r="AE132" s="173" t="str">
        <f ca="1"/>
        <v/>
      </c>
      <c r="AF132" s="173"/>
      <c r="AG132" s="174"/>
      <c r="AH132" s="176"/>
      <c r="AI132" s="175" t="str">
        <f ca="1"/>
        <v/>
      </c>
      <c r="AJ132" s="173"/>
      <c r="AK132" s="173"/>
      <c r="AL132" s="173"/>
      <c r="AM132" s="174"/>
      <c r="AQ132" s="94" t="str">
        <f ca="1"/>
        <v>KS</v>
      </c>
      <c r="AR132" s="28"/>
      <c r="AS132" s="28"/>
      <c r="AT132" s="28"/>
      <c r="AU132" s="28"/>
      <c r="AV132" s="109"/>
      <c r="AW132" s="28"/>
      <c r="AX132" s="94" t="str">
        <f ca="1"/>
        <v xml:space="preserve">FMS Plus </v>
      </c>
      <c r="AY132" s="28"/>
      <c r="AZ132" s="28"/>
      <c r="BA132" s="28"/>
      <c r="BB132" s="28"/>
      <c r="BC132" s="109"/>
      <c r="BK132" s="53" t="str">
        <f>""</f>
        <v/>
      </c>
      <c r="BL132" s="153"/>
      <c r="BM132" s="154"/>
      <c r="BN132" s="154"/>
      <c r="BO132" s="67">
        <f ca="1"/>
        <v>0</v>
      </c>
      <c r="BP132" s="68"/>
      <c r="BQ132" s="69"/>
      <c r="BR132" s="69"/>
      <c r="BS132" s="70"/>
    </row>
    <row r="133" spans="1:71" s="3" customFormat="1" ht="15" hidden="1" customHeight="1" thickTop="1" thickBot="1" x14ac:dyDescent="0.3">
      <c r="A133" s="410"/>
      <c r="B133" s="412"/>
      <c r="C133" s="398" t="s">
        <v>76</v>
      </c>
      <c r="D133" s="399"/>
      <c r="E133" s="399"/>
      <c r="F133" s="399"/>
      <c r="G133" s="399"/>
      <c r="H133" s="95">
        <f>IF(ISTEXT(F18),1,0)</f>
        <v>0</v>
      </c>
      <c r="I133" s="140"/>
      <c r="J133" s="94"/>
      <c r="K133" s="28"/>
      <c r="L133" s="28"/>
      <c r="M133" s="28"/>
      <c r="N133" s="37"/>
      <c r="O133" s="28"/>
      <c r="P133" s="28"/>
      <c r="Q133" s="28"/>
      <c r="R133" s="28"/>
      <c r="S133" s="28"/>
      <c r="W133" s="461" t="s">
        <v>16</v>
      </c>
      <c r="X133" s="462"/>
      <c r="Y133" s="462"/>
      <c r="Z133" s="462"/>
      <c r="AA133" s="463"/>
      <c r="AB133" s="28"/>
      <c r="AC133" s="169" t="str">
        <f ca="1">IF(P75=1,W133,"")</f>
        <v/>
      </c>
      <c r="AD133" s="170"/>
      <c r="AE133" s="167" t="str" cm="1">
        <f t="array" aca="1" ref="AE133:AE135" ca="1">IF($AM$126=1,AC133:AC135,AI133:AI135)</f>
        <v/>
      </c>
      <c r="AF133" s="28"/>
      <c r="AG133" s="109"/>
      <c r="AH133"/>
      <c r="AI133" s="94" t="str" cm="1">
        <f t="array" aca="1" ref="AI133:AI135" ca="1">_xlfn._xlws.SORT(AC133:AC135,,1)</f>
        <v/>
      </c>
      <c r="AJ133" s="28"/>
      <c r="AK133" s="28"/>
      <c r="AL133" s="28"/>
      <c r="AM133" s="109"/>
      <c r="AQ133" s="94" t="str">
        <f ca="1"/>
        <v>MRS</v>
      </c>
      <c r="AR133" s="28"/>
      <c r="AS133" s="28"/>
      <c r="AT133" s="28"/>
      <c r="AU133" s="28"/>
      <c r="AV133" s="109"/>
      <c r="AW133" s="28"/>
      <c r="AX133" s="94" t="str">
        <f ca="1"/>
        <v>KS</v>
      </c>
      <c r="AY133" s="28"/>
      <c r="AZ133" s="28"/>
      <c r="BA133" s="28"/>
      <c r="BB133" s="28"/>
      <c r="BC133" s="109"/>
      <c r="BK133" s="53" t="str">
        <f>""</f>
        <v/>
      </c>
      <c r="BL133" s="407" t="s">
        <v>60</v>
      </c>
      <c r="BM133" s="408"/>
      <c r="BN133" s="409"/>
      <c r="BO133" s="62" t="str">
        <f ca="1"/>
        <v>1 track</v>
      </c>
      <c r="BP133" s="63" t="s">
        <v>216</v>
      </c>
      <c r="BQ133" s="65" t="s">
        <v>156</v>
      </c>
      <c r="BR133" s="65"/>
      <c r="BS133" s="66"/>
    </row>
    <row r="134" spans="1:71" s="3" customFormat="1" hidden="1" x14ac:dyDescent="0.25">
      <c r="A134" s="410"/>
      <c r="B134" s="412"/>
      <c r="C134" s="398" t="s">
        <v>77</v>
      </c>
      <c r="D134" s="399"/>
      <c r="E134" s="399"/>
      <c r="F134" s="399"/>
      <c r="G134" s="399"/>
      <c r="H134" s="95">
        <f>IF(F18&lt;N134,1,0)</f>
        <v>0</v>
      </c>
      <c r="I134" s="140"/>
      <c r="J134" s="155" t="s">
        <v>79</v>
      </c>
      <c r="K134" s="156"/>
      <c r="L134" s="156"/>
      <c r="M134" s="157"/>
      <c r="N134" s="442">
        <v>0</v>
      </c>
      <c r="O134" s="443"/>
      <c r="P134" s="28" t="s">
        <v>23</v>
      </c>
      <c r="Q134" s="28"/>
      <c r="R134" s="28"/>
      <c r="S134" s="28"/>
      <c r="W134" s="461" t="s">
        <v>17</v>
      </c>
      <c r="X134" s="462"/>
      <c r="Y134" s="462"/>
      <c r="Z134" s="462"/>
      <c r="AA134" s="463"/>
      <c r="AB134" s="28"/>
      <c r="AC134" s="169" t="str">
        <f ca="1">IF(Q75=1,W134,"")</f>
        <v/>
      </c>
      <c r="AD134" s="170"/>
      <c r="AE134" s="28" t="str">
        <f ca="1"/>
        <v/>
      </c>
      <c r="AF134" s="28"/>
      <c r="AG134" s="109"/>
      <c r="AH134"/>
      <c r="AI134" s="94" t="str">
        <f ca="1"/>
        <v/>
      </c>
      <c r="AJ134" s="28"/>
      <c r="AK134" s="28"/>
      <c r="AL134" s="28"/>
      <c r="AM134" s="109"/>
      <c r="AQ134" s="94" t="str">
        <f ca="1"/>
        <v>MRS Universal</v>
      </c>
      <c r="AR134" s="28"/>
      <c r="AS134" s="28"/>
      <c r="AT134" s="28"/>
      <c r="AU134" s="28"/>
      <c r="AV134" s="109"/>
      <c r="AW134" s="28"/>
      <c r="AX134" s="94" t="str">
        <f ca="1"/>
        <v>MRS</v>
      </c>
      <c r="AY134" s="28"/>
      <c r="AZ134" s="28"/>
      <c r="BA134" s="28"/>
      <c r="BB134" s="28"/>
      <c r="BC134" s="109"/>
      <c r="BK134" s="53" t="str">
        <f>""</f>
        <v/>
      </c>
      <c r="BL134" s="410"/>
      <c r="BM134" s="411"/>
      <c r="BN134" s="412"/>
      <c r="BO134" s="75" t="str">
        <f ca="1"/>
        <v>2 tracks</v>
      </c>
      <c r="BP134" s="94" t="s">
        <v>217</v>
      </c>
      <c r="BQ134" s="95" t="s">
        <v>155</v>
      </c>
      <c r="BR134" s="95"/>
      <c r="BS134" s="96"/>
    </row>
    <row r="135" spans="1:71" s="3" customFormat="1" ht="15.75" hidden="1" thickBot="1" x14ac:dyDescent="0.3">
      <c r="A135" s="429"/>
      <c r="B135" s="430"/>
      <c r="C135" s="431" t="s">
        <v>78</v>
      </c>
      <c r="D135" s="432"/>
      <c r="E135" s="432"/>
      <c r="F135" s="432"/>
      <c r="G135" s="432"/>
      <c r="H135" s="151">
        <f>IF(F18&gt;N135,1,0)</f>
        <v>0</v>
      </c>
      <c r="I135" s="146"/>
      <c r="J135" s="158" t="s">
        <v>80</v>
      </c>
      <c r="K135" s="37"/>
      <c r="L135" s="37"/>
      <c r="M135" s="38"/>
      <c r="N135" s="433">
        <v>50</v>
      </c>
      <c r="O135" s="434"/>
      <c r="P135" s="28" t="s">
        <v>23</v>
      </c>
      <c r="Q135" s="28"/>
      <c r="R135" s="28"/>
      <c r="S135" s="28"/>
      <c r="W135" s="403" t="s">
        <v>18</v>
      </c>
      <c r="X135" s="276"/>
      <c r="Y135" s="276"/>
      <c r="Z135" s="276"/>
      <c r="AA135" s="277"/>
      <c r="AB135" s="28"/>
      <c r="AC135" s="178" t="str">
        <f ca="1">IF(R75=1,W135,"")</f>
        <v/>
      </c>
      <c r="AD135" s="179"/>
      <c r="AE135" s="37" t="str">
        <f ca="1"/>
        <v/>
      </c>
      <c r="AF135" s="37"/>
      <c r="AG135" s="38"/>
      <c r="AH135" s="28"/>
      <c r="AI135" s="158" t="str">
        <f ca="1"/>
        <v/>
      </c>
      <c r="AJ135" s="37"/>
      <c r="AK135" s="37"/>
      <c r="AL135" s="37"/>
      <c r="AM135" s="38"/>
      <c r="AQ135" s="94"/>
      <c r="AR135" s="28"/>
      <c r="AS135" s="28"/>
      <c r="AT135" s="28"/>
      <c r="AU135" s="28"/>
      <c r="AV135" s="109"/>
      <c r="AW135" s="28"/>
      <c r="AX135" s="94" t="str">
        <f ca="1"/>
        <v>MRS Universal</v>
      </c>
      <c r="AY135" s="28"/>
      <c r="AZ135" s="28"/>
      <c r="BA135" s="28"/>
      <c r="BB135" s="28"/>
      <c r="BC135" s="109"/>
      <c r="BK135" s="53" t="str">
        <f>""</f>
        <v/>
      </c>
      <c r="BL135" s="410"/>
      <c r="BM135" s="411"/>
      <c r="BN135" s="412"/>
      <c r="BO135" s="67" t="str">
        <f ca="1"/>
        <v>3 tracks</v>
      </c>
      <c r="BP135" s="68" t="s">
        <v>218</v>
      </c>
      <c r="BQ135" s="69" t="s">
        <v>154</v>
      </c>
      <c r="BR135" s="69"/>
      <c r="BS135" s="70"/>
    </row>
    <row r="136" spans="1:71" s="3" customFormat="1" hidden="1" x14ac:dyDescent="0.25">
      <c r="A136" s="427" t="s">
        <v>129</v>
      </c>
      <c r="B136" s="428"/>
      <c r="C136" s="425" t="s">
        <v>75</v>
      </c>
      <c r="D136" s="426"/>
      <c r="E136" s="426"/>
      <c r="F136" s="426"/>
      <c r="G136" s="426"/>
      <c r="H136" s="95">
        <f ca="1">IF(J116=1,0,IF(Y107=0,0,IF(F20="",1,0)))</f>
        <v>0</v>
      </c>
      <c r="I136" s="140"/>
      <c r="J136" s="94"/>
      <c r="K136" s="28"/>
      <c r="L136" s="28"/>
      <c r="M136" s="28"/>
      <c r="N136" s="28"/>
      <c r="O136" s="28"/>
      <c r="P136" s="28"/>
      <c r="Q136" s="28"/>
      <c r="R136" s="28"/>
      <c r="S136" s="28"/>
      <c r="AQ136" s="94"/>
      <c r="AR136" s="28"/>
      <c r="AS136" s="28"/>
      <c r="AT136" s="28"/>
      <c r="AU136" s="28"/>
      <c r="AV136" s="109"/>
      <c r="AW136" s="28"/>
      <c r="AX136" s="94"/>
      <c r="AY136" s="28"/>
      <c r="AZ136" s="28"/>
      <c r="BA136" s="28"/>
      <c r="BB136" s="28"/>
      <c r="BC136" s="109"/>
      <c r="BK136" s="53" t="str">
        <f>""</f>
        <v/>
      </c>
      <c r="BL136" s="410"/>
      <c r="BM136" s="411"/>
      <c r="BN136" s="412"/>
      <c r="BO136" s="75" t="str">
        <f ca="1"/>
        <v>Straight</v>
      </c>
      <c r="BP136" s="94" t="s">
        <v>219</v>
      </c>
      <c r="BQ136" s="95" t="s">
        <v>103</v>
      </c>
      <c r="BR136" s="95"/>
      <c r="BS136" s="96"/>
    </row>
    <row r="137" spans="1:71" s="3" customFormat="1" ht="15.75" hidden="1" thickBot="1" x14ac:dyDescent="0.3">
      <c r="A137" s="410"/>
      <c r="B137" s="412"/>
      <c r="C137" s="398" t="s">
        <v>76</v>
      </c>
      <c r="D137" s="399"/>
      <c r="E137" s="399"/>
      <c r="F137" s="399"/>
      <c r="G137" s="399"/>
      <c r="H137" s="95">
        <f ca="1">IF(Y107=0,0,IF(ISTEXT(F20),1,0))</f>
        <v>0</v>
      </c>
      <c r="I137" s="140"/>
      <c r="J137" s="94"/>
      <c r="K137" s="28"/>
      <c r="L137" s="28"/>
      <c r="M137" s="28"/>
      <c r="N137" s="37"/>
      <c r="O137" s="28"/>
      <c r="P137" s="28"/>
      <c r="AQ137" s="94"/>
      <c r="AR137" s="28"/>
      <c r="AS137" s="28"/>
      <c r="AT137" s="28"/>
      <c r="AU137" s="28"/>
      <c r="AV137" s="109"/>
      <c r="AW137" s="28"/>
      <c r="AX137" s="94"/>
      <c r="AY137" s="28"/>
      <c r="AZ137" s="28"/>
      <c r="BA137" s="28"/>
      <c r="BB137" s="28"/>
      <c r="BC137" s="109"/>
      <c r="BK137" s="53" t="str">
        <f>""</f>
        <v/>
      </c>
      <c r="BL137" s="410"/>
      <c r="BM137" s="411"/>
      <c r="BN137" s="412"/>
      <c r="BO137" s="75" t="str">
        <f ca="1"/>
        <v>1 Bend</v>
      </c>
      <c r="BP137" s="94" t="s">
        <v>220</v>
      </c>
      <c r="BQ137" s="95" t="s">
        <v>101</v>
      </c>
      <c r="BR137" s="95"/>
      <c r="BS137" s="96"/>
    </row>
    <row r="138" spans="1:71" s="3" customFormat="1" hidden="1" x14ac:dyDescent="0.25">
      <c r="A138" s="410"/>
      <c r="B138" s="412"/>
      <c r="C138" s="398" t="s">
        <v>77</v>
      </c>
      <c r="D138" s="399"/>
      <c r="E138" s="399"/>
      <c r="F138" s="399"/>
      <c r="G138" s="399"/>
      <c r="H138" s="95">
        <f ca="1">IF(Y107=0,0,IF(F20&lt;N138,1,0))</f>
        <v>0</v>
      </c>
      <c r="I138" s="140"/>
      <c r="J138" s="155" t="s">
        <v>131</v>
      </c>
      <c r="K138" s="156"/>
      <c r="L138" s="156"/>
      <c r="M138" s="157"/>
      <c r="N138" s="442">
        <v>5</v>
      </c>
      <c r="O138" s="443"/>
      <c r="P138" s="28" t="s">
        <v>7</v>
      </c>
      <c r="AQ138" s="94"/>
      <c r="AR138" s="28"/>
      <c r="AS138" s="28"/>
      <c r="AT138" s="28"/>
      <c r="AU138" s="28"/>
      <c r="AV138" s="109"/>
      <c r="AW138" s="28"/>
      <c r="AX138" s="94"/>
      <c r="AY138" s="28"/>
      <c r="AZ138" s="28"/>
      <c r="BA138" s="28"/>
      <c r="BB138" s="28"/>
      <c r="BC138" s="109"/>
      <c r="BK138" s="53" t="str">
        <f>""</f>
        <v/>
      </c>
      <c r="BL138" s="410"/>
      <c r="BM138" s="411"/>
      <c r="BN138" s="412"/>
      <c r="BO138" s="67" t="str">
        <f ca="1"/>
        <v>2 Bends</v>
      </c>
      <c r="BP138" s="68" t="s">
        <v>221</v>
      </c>
      <c r="BQ138" s="69" t="s">
        <v>102</v>
      </c>
      <c r="BR138" s="69"/>
      <c r="BS138" s="70"/>
    </row>
    <row r="139" spans="1:71" s="3" customFormat="1" ht="15.75" hidden="1" thickBot="1" x14ac:dyDescent="0.3">
      <c r="A139" s="429"/>
      <c r="B139" s="430"/>
      <c r="C139" s="431" t="s">
        <v>78</v>
      </c>
      <c r="D139" s="432"/>
      <c r="E139" s="432"/>
      <c r="F139" s="432"/>
      <c r="G139" s="432"/>
      <c r="H139" s="151">
        <f ca="1">IF(Y107=0,0,IF(F20&gt;N139,1,0))</f>
        <v>0</v>
      </c>
      <c r="I139" s="146"/>
      <c r="J139" s="158" t="s">
        <v>145</v>
      </c>
      <c r="K139" s="37"/>
      <c r="L139" s="37"/>
      <c r="M139" s="38"/>
      <c r="N139" s="433">
        <v>179</v>
      </c>
      <c r="O139" s="434"/>
      <c r="P139" s="28" t="s">
        <v>7</v>
      </c>
      <c r="W139" s="5"/>
      <c r="AQ139" s="94"/>
      <c r="AR139" s="28"/>
      <c r="AS139" s="28"/>
      <c r="AT139" s="28"/>
      <c r="AU139" s="28"/>
      <c r="AV139" s="109"/>
      <c r="AW139" s="28"/>
      <c r="AX139" s="94"/>
      <c r="AY139" s="28"/>
      <c r="AZ139" s="28"/>
      <c r="BA139" s="28"/>
      <c r="BB139" s="28"/>
      <c r="BC139" s="109"/>
      <c r="BK139" s="53" t="str">
        <f>""</f>
        <v/>
      </c>
      <c r="BL139" s="410"/>
      <c r="BM139" s="411"/>
      <c r="BN139" s="412"/>
      <c r="BO139" s="62" t="str">
        <f ca="1"/>
        <v>Wave curtain</v>
      </c>
      <c r="BP139" s="63" t="s">
        <v>222</v>
      </c>
      <c r="BQ139" s="65" t="s">
        <v>14</v>
      </c>
      <c r="BR139" s="65"/>
      <c r="BS139" s="66"/>
    </row>
    <row r="140" spans="1:71" s="3" customFormat="1" hidden="1" x14ac:dyDescent="0.25">
      <c r="A140" s="427" t="s">
        <v>130</v>
      </c>
      <c r="B140" s="428"/>
      <c r="C140" s="425" t="s">
        <v>75</v>
      </c>
      <c r="D140" s="426"/>
      <c r="E140" s="426"/>
      <c r="F140" s="426"/>
      <c r="G140" s="426"/>
      <c r="H140" s="95">
        <f ca="1">IF(Y108=0,0,IF(J116=1,0,IF(F22="",1,0)))</f>
        <v>0</v>
      </c>
      <c r="I140" s="140"/>
      <c r="J140" s="94"/>
      <c r="K140" s="28"/>
      <c r="L140" s="28"/>
      <c r="M140" s="28"/>
      <c r="N140" s="28"/>
      <c r="O140" s="28"/>
      <c r="P140" s="28"/>
      <c r="AQ140" s="191"/>
      <c r="AR140" s="204"/>
      <c r="AS140" s="204"/>
      <c r="AT140" s="204"/>
      <c r="AU140" s="28"/>
      <c r="AV140" s="109"/>
      <c r="AW140" s="28"/>
      <c r="AX140" s="94"/>
      <c r="AY140" s="28"/>
      <c r="AZ140" s="28"/>
      <c r="BA140" s="28"/>
      <c r="BB140" s="28"/>
      <c r="BC140" s="109"/>
      <c r="BK140" s="53" t="str">
        <f>""</f>
        <v/>
      </c>
      <c r="BL140" s="410"/>
      <c r="BM140" s="411"/>
      <c r="BN140" s="412"/>
      <c r="BO140" s="67" t="str">
        <f ca="1"/>
        <v>Pleat curtain</v>
      </c>
      <c r="BP140" s="68" t="s">
        <v>223</v>
      </c>
      <c r="BQ140" s="69" t="s">
        <v>15</v>
      </c>
      <c r="BR140" s="69"/>
      <c r="BS140" s="70"/>
    </row>
    <row r="141" spans="1:71" s="3" customFormat="1" ht="15.75" hidden="1" thickBot="1" x14ac:dyDescent="0.3">
      <c r="A141" s="410"/>
      <c r="B141" s="412"/>
      <c r="C141" s="398" t="s">
        <v>76</v>
      </c>
      <c r="D141" s="399"/>
      <c r="E141" s="399"/>
      <c r="F141" s="399"/>
      <c r="G141" s="399"/>
      <c r="H141" s="95">
        <f ca="1">IF(Y108=0,0,IF(ISTEXT(F22),1,0))</f>
        <v>0</v>
      </c>
      <c r="I141" s="140"/>
      <c r="J141" s="94"/>
      <c r="K141" s="28"/>
      <c r="L141" s="28"/>
      <c r="M141" s="28"/>
      <c r="N141" s="37"/>
      <c r="O141" s="28"/>
      <c r="P141" s="28"/>
      <c r="AQ141" s="94"/>
      <c r="AR141" s="28"/>
      <c r="AS141" s="28"/>
      <c r="AT141" s="28"/>
      <c r="AU141" s="28"/>
      <c r="AV141" s="109"/>
      <c r="AW141" s="28"/>
      <c r="AX141" s="94"/>
      <c r="AY141" s="28"/>
      <c r="AZ141" s="28"/>
      <c r="BA141" s="28"/>
      <c r="BB141" s="28"/>
      <c r="BC141" s="109"/>
      <c r="BK141" s="53" t="str">
        <f>""</f>
        <v/>
      </c>
      <c r="BL141" s="410"/>
      <c r="BM141" s="411"/>
      <c r="BN141" s="412"/>
      <c r="BO141" s="75" t="str">
        <f ca="1"/>
        <v>Shape L</v>
      </c>
      <c r="BP141" s="94" t="s">
        <v>161</v>
      </c>
      <c r="BQ141" s="159" t="s">
        <v>121</v>
      </c>
      <c r="BR141" s="95"/>
      <c r="BS141" s="96"/>
    </row>
    <row r="142" spans="1:71" s="3" customFormat="1" hidden="1" x14ac:dyDescent="0.25">
      <c r="A142" s="410"/>
      <c r="B142" s="412"/>
      <c r="C142" s="398" t="s">
        <v>77</v>
      </c>
      <c r="D142" s="399"/>
      <c r="E142" s="399"/>
      <c r="F142" s="399"/>
      <c r="G142" s="399"/>
      <c r="H142" s="95">
        <f ca="1">IF(Y108=0,0,IF(F22&lt;N142,1,0))</f>
        <v>0</v>
      </c>
      <c r="I142" s="140"/>
      <c r="J142" s="155" t="s">
        <v>131</v>
      </c>
      <c r="K142" s="156"/>
      <c r="L142" s="156"/>
      <c r="M142" s="157"/>
      <c r="N142" s="442">
        <v>5</v>
      </c>
      <c r="O142" s="443"/>
      <c r="P142" s="28" t="s">
        <v>7</v>
      </c>
      <c r="AQ142" s="94"/>
      <c r="AR142" s="28"/>
      <c r="AS142" s="28"/>
      <c r="AT142" s="28"/>
      <c r="AU142" s="28"/>
      <c r="AV142" s="109"/>
      <c r="AW142" s="28"/>
      <c r="AX142" s="94"/>
      <c r="AY142" s="28"/>
      <c r="AZ142" s="28"/>
      <c r="BA142" s="28"/>
      <c r="BB142" s="28"/>
      <c r="BC142" s="109"/>
      <c r="BK142" s="53" t="str">
        <f>""</f>
        <v/>
      </c>
      <c r="BL142" s="410"/>
      <c r="BM142" s="411"/>
      <c r="BN142" s="412"/>
      <c r="BO142" s="75" t="str">
        <f ca="1"/>
        <v>Shape J</v>
      </c>
      <c r="BP142" s="94" t="s">
        <v>163</v>
      </c>
      <c r="BQ142" s="22" t="s">
        <v>122</v>
      </c>
      <c r="BR142" s="95"/>
      <c r="BS142" s="96"/>
    </row>
    <row r="143" spans="1:71" s="3" customFormat="1" ht="15.75" hidden="1" thickBot="1" x14ac:dyDescent="0.3">
      <c r="A143" s="429"/>
      <c r="B143" s="430"/>
      <c r="C143" s="431" t="s">
        <v>78</v>
      </c>
      <c r="D143" s="432"/>
      <c r="E143" s="432"/>
      <c r="F143" s="432"/>
      <c r="G143" s="432"/>
      <c r="H143" s="151">
        <f ca="1">IF(Y108=0,0,IF(F22&gt;N143,1,0))</f>
        <v>0</v>
      </c>
      <c r="I143" s="146"/>
      <c r="J143" s="158" t="s">
        <v>145</v>
      </c>
      <c r="K143" s="37"/>
      <c r="L143" s="37"/>
      <c r="M143" s="38"/>
      <c r="N143" s="433">
        <v>179</v>
      </c>
      <c r="O143" s="434"/>
      <c r="P143" s="28" t="s">
        <v>7</v>
      </c>
      <c r="AQ143" s="35"/>
      <c r="AV143" s="36"/>
      <c r="AX143" s="35"/>
      <c r="BC143" s="36"/>
      <c r="BK143" s="53" t="str">
        <f>""</f>
        <v/>
      </c>
      <c r="BL143" s="410"/>
      <c r="BM143" s="411"/>
      <c r="BN143" s="412"/>
      <c r="BO143" s="75" t="str">
        <f ca="1"/>
        <v>Shape R</v>
      </c>
      <c r="BP143" s="94" t="s">
        <v>164</v>
      </c>
      <c r="BQ143" s="22" t="s">
        <v>123</v>
      </c>
      <c r="BR143" s="95"/>
      <c r="BS143" s="96"/>
    </row>
    <row r="144" spans="1:71" s="3" customFormat="1" ht="15.75" hidden="1" thickBot="1" x14ac:dyDescent="0.3">
      <c r="H144" s="6"/>
      <c r="AQ144" s="35"/>
      <c r="AV144" s="36"/>
      <c r="AX144" s="35"/>
      <c r="BC144" s="36"/>
      <c r="BK144" s="53" t="str">
        <f>""</f>
        <v/>
      </c>
      <c r="BL144" s="410"/>
      <c r="BM144" s="411"/>
      <c r="BN144" s="412"/>
      <c r="BO144" s="75" t="str">
        <f ca="1"/>
        <v>Shape 7</v>
      </c>
      <c r="BP144" s="94" t="s">
        <v>165</v>
      </c>
      <c r="BQ144" s="22" t="s">
        <v>124</v>
      </c>
      <c r="BR144" s="95"/>
      <c r="BS144" s="96"/>
    </row>
    <row r="145" spans="1:71" s="3" customFormat="1" ht="15" hidden="1" customHeight="1" thickBot="1" x14ac:dyDescent="0.3">
      <c r="A145" s="515" t="s">
        <v>88</v>
      </c>
      <c r="B145" s="516"/>
      <c r="C145" s="425" t="s">
        <v>117</v>
      </c>
      <c r="D145" s="426"/>
      <c r="E145" s="426"/>
      <c r="F145" s="426"/>
      <c r="G145" s="426"/>
      <c r="H145" s="160"/>
      <c r="I145" s="161"/>
      <c r="J145" s="133">
        <v>1</v>
      </c>
      <c r="AQ145" s="35"/>
      <c r="AV145" s="36"/>
      <c r="AX145" s="35"/>
      <c r="BC145" s="36"/>
      <c r="BK145" s="53" t="str">
        <f>""</f>
        <v/>
      </c>
      <c r="BL145" s="410"/>
      <c r="BM145" s="411"/>
      <c r="BN145" s="412"/>
      <c r="BO145" s="75" t="str">
        <f ca="1"/>
        <v>Shape U</v>
      </c>
      <c r="BP145" s="94" t="s">
        <v>166</v>
      </c>
      <c r="BQ145" s="22" t="s">
        <v>125</v>
      </c>
      <c r="BR145" s="95"/>
      <c r="BS145" s="96"/>
    </row>
    <row r="146" spans="1:71" s="3" customFormat="1" hidden="1" x14ac:dyDescent="0.25">
      <c r="A146" s="391" t="s">
        <v>84</v>
      </c>
      <c r="B146" s="392"/>
      <c r="C146" s="425" t="s">
        <v>75</v>
      </c>
      <c r="D146" s="426"/>
      <c r="E146" s="426"/>
      <c r="F146" s="426"/>
      <c r="G146" s="426"/>
      <c r="H146" s="149">
        <f>IF(F27="",1,0)</f>
        <v>0</v>
      </c>
      <c r="I146" s="150"/>
      <c r="AQ146" s="35"/>
      <c r="AV146" s="36"/>
      <c r="AX146" s="35"/>
      <c r="BC146" s="36"/>
      <c r="BK146" s="53" t="str">
        <f>""</f>
        <v/>
      </c>
      <c r="BL146" s="410"/>
      <c r="BM146" s="411"/>
      <c r="BN146" s="412"/>
      <c r="BO146" s="75" t="str">
        <f ca="1"/>
        <v>Shape N</v>
      </c>
      <c r="BP146" s="94" t="s">
        <v>167</v>
      </c>
      <c r="BQ146" s="22" t="s">
        <v>126</v>
      </c>
      <c r="BR146" s="95"/>
      <c r="BS146" s="96"/>
    </row>
    <row r="147" spans="1:71" s="3" customFormat="1" ht="15.75" hidden="1" thickBot="1" x14ac:dyDescent="0.3">
      <c r="A147" s="471"/>
      <c r="B147" s="468"/>
      <c r="C147" s="398" t="s">
        <v>224</v>
      </c>
      <c r="D147" s="399"/>
      <c r="E147" s="399"/>
      <c r="F147" s="399"/>
      <c r="G147" s="399"/>
      <c r="H147" s="95">
        <f ca="1">IF(J145=0,0,IF(J116=1,0,IF(ISERROR(J147),0,1)))</f>
        <v>0</v>
      </c>
      <c r="I147" s="140"/>
      <c r="J147" s="441" t="e">
        <f ca="1">VLOOKUP(F27,BO166:BO173,1,FALSE)</f>
        <v>#N/A</v>
      </c>
      <c r="K147" s="374"/>
      <c r="L147" s="374"/>
      <c r="M147" s="374"/>
      <c r="AQ147" s="205"/>
      <c r="AR147" s="145"/>
      <c r="AS147" s="145"/>
      <c r="AT147" s="145"/>
      <c r="AU147" s="145"/>
      <c r="AV147" s="206"/>
      <c r="AX147" s="35"/>
      <c r="BC147" s="36"/>
      <c r="BK147" s="53" t="str">
        <f>""</f>
        <v/>
      </c>
      <c r="BL147" s="410"/>
      <c r="BM147" s="411"/>
      <c r="BN147" s="412"/>
      <c r="BO147" s="75" t="str">
        <f ca="1"/>
        <v>Shape S</v>
      </c>
      <c r="BP147" s="94" t="s">
        <v>168</v>
      </c>
      <c r="BQ147" s="22" t="s">
        <v>127</v>
      </c>
      <c r="BR147" s="95"/>
      <c r="BS147" s="96"/>
    </row>
    <row r="148" spans="1:71" s="3" customFormat="1" ht="15.75" hidden="1" thickBot="1" x14ac:dyDescent="0.3">
      <c r="A148" s="472"/>
      <c r="B148" s="470"/>
      <c r="C148" s="433" t="s">
        <v>58</v>
      </c>
      <c r="D148" s="435"/>
      <c r="E148" s="435"/>
      <c r="F148" s="435"/>
      <c r="G148" s="435"/>
      <c r="H148" s="151">
        <f ca="1">IF(ISERROR(J148),1,0)</f>
        <v>0</v>
      </c>
      <c r="I148" s="146"/>
      <c r="J148" s="441" t="str">
        <f ca="1">VLOOKUP(F27,BO157:BO173,1,FALSE)</f>
        <v>FMS (Shuttle)</v>
      </c>
      <c r="K148" s="374"/>
      <c r="L148" s="374"/>
      <c r="M148" s="374"/>
      <c r="AX148" s="205"/>
      <c r="AY148" s="145"/>
      <c r="AZ148" s="145"/>
      <c r="BA148" s="145"/>
      <c r="BB148" s="145"/>
      <c r="BC148" s="206"/>
      <c r="BK148" s="53" t="str">
        <f>""</f>
        <v/>
      </c>
      <c r="BL148" s="410"/>
      <c r="BM148" s="411"/>
      <c r="BN148" s="412"/>
      <c r="BO148" s="67" t="str">
        <f ca="1"/>
        <v>Shape Z</v>
      </c>
      <c r="BP148" s="68" t="s">
        <v>162</v>
      </c>
      <c r="BQ148" s="164" t="s">
        <v>128</v>
      </c>
      <c r="BR148" s="69"/>
      <c r="BS148" s="70"/>
    </row>
    <row r="149" spans="1:71" s="3" customFormat="1" hidden="1" x14ac:dyDescent="0.25">
      <c r="A149" s="391" t="s">
        <v>81</v>
      </c>
      <c r="B149" s="392"/>
      <c r="C149" s="425" t="s">
        <v>75</v>
      </c>
      <c r="D149" s="426"/>
      <c r="E149" s="426"/>
      <c r="F149" s="426"/>
      <c r="G149" s="426"/>
      <c r="H149" s="95">
        <f>IF(F29="",1,0)</f>
        <v>0</v>
      </c>
      <c r="I149" s="140"/>
      <c r="BK149" s="53" t="str">
        <f>""</f>
        <v/>
      </c>
      <c r="BL149" s="410"/>
      <c r="BM149" s="411"/>
      <c r="BN149" s="412"/>
      <c r="BO149" s="75">
        <f ca="1"/>
        <v>0</v>
      </c>
      <c r="BP149" s="94"/>
      <c r="BQ149" s="22"/>
      <c r="BR149" s="95"/>
      <c r="BS149" s="96"/>
    </row>
    <row r="150" spans="1:71" s="3" customFormat="1" hidden="1" x14ac:dyDescent="0.25">
      <c r="A150" s="471"/>
      <c r="B150" s="468"/>
      <c r="C150" s="398" t="s">
        <v>224</v>
      </c>
      <c r="D150" s="399"/>
      <c r="E150" s="399"/>
      <c r="F150" s="399"/>
      <c r="G150" s="399"/>
      <c r="H150" s="95">
        <f ca="1">IF(J116+K73&gt;=1,0,IF(ISERROR(J150),0,1))</f>
        <v>0</v>
      </c>
      <c r="I150" s="140"/>
      <c r="J150" s="441" t="b">
        <f ca="1">IF(K73=1,FALSE,VLOOKUP(F29,BO139,1,FALSE))</f>
        <v>0</v>
      </c>
      <c r="K150" s="374"/>
      <c r="L150" s="374"/>
      <c r="M150" s="374"/>
      <c r="BK150" s="53" t="str">
        <f>""</f>
        <v/>
      </c>
      <c r="BL150" s="410"/>
      <c r="BM150" s="411"/>
      <c r="BN150" s="412"/>
      <c r="BO150" s="75">
        <f ca="1"/>
        <v>0</v>
      </c>
      <c r="BP150" s="94"/>
      <c r="BQ150" s="22"/>
      <c r="BR150" s="95"/>
      <c r="BS150" s="96"/>
    </row>
    <row r="151" spans="1:71" s="3" customFormat="1" ht="15.75" hidden="1" thickBot="1" x14ac:dyDescent="0.3">
      <c r="A151" s="472"/>
      <c r="B151" s="470"/>
      <c r="C151" s="433" t="s">
        <v>58</v>
      </c>
      <c r="D151" s="435"/>
      <c r="E151" s="435"/>
      <c r="F151" s="435"/>
      <c r="G151" s="435"/>
      <c r="H151" s="151">
        <f ca="1">IF(ISERROR(J151),1,0)</f>
        <v>0</v>
      </c>
      <c r="I151" s="146"/>
      <c r="J151" s="441" t="str">
        <f ca="1">VLOOKUP(F29,BO139:BO140,1,FALSE)</f>
        <v>Wave curtain</v>
      </c>
      <c r="K151" s="374"/>
      <c r="L151" s="374"/>
      <c r="M151" s="374"/>
      <c r="BK151" s="53" t="str">
        <f>""</f>
        <v/>
      </c>
      <c r="BL151" s="413"/>
      <c r="BM151" s="414"/>
      <c r="BN151" s="415"/>
      <c r="BO151" s="67">
        <f ca="1"/>
        <v>0</v>
      </c>
      <c r="BP151" s="68"/>
      <c r="BQ151" s="164"/>
      <c r="BR151" s="69"/>
      <c r="BS151" s="70"/>
    </row>
    <row r="152" spans="1:71" s="3" customFormat="1" hidden="1" x14ac:dyDescent="0.25">
      <c r="A152" s="390" t="s">
        <v>82</v>
      </c>
      <c r="B152" s="392"/>
      <c r="C152" s="425" t="s">
        <v>75</v>
      </c>
      <c r="D152" s="426"/>
      <c r="E152" s="426"/>
      <c r="F152" s="426"/>
      <c r="G152" s="426"/>
      <c r="H152" s="95">
        <f ca="1">IF(J116=1,0,IF(F31="",1,0))</f>
        <v>0</v>
      </c>
      <c r="I152" s="152"/>
      <c r="BK152" s="213" t="str">
        <f>""</f>
        <v/>
      </c>
      <c r="BL152" s="214"/>
      <c r="BM152" s="211"/>
      <c r="BN152" s="215"/>
      <c r="BO152" s="217">
        <f ca="1"/>
        <v>0</v>
      </c>
      <c r="BP152" s="211"/>
      <c r="BQ152" s="159"/>
      <c r="BR152" s="159"/>
      <c r="BS152" s="215"/>
    </row>
    <row r="153" spans="1:71" s="3" customFormat="1" ht="15.75" hidden="1" thickBot="1" x14ac:dyDescent="0.3">
      <c r="A153" s="469"/>
      <c r="B153" s="470"/>
      <c r="C153" s="431" t="s">
        <v>224</v>
      </c>
      <c r="D153" s="432"/>
      <c r="E153" s="432"/>
      <c r="F153" s="432"/>
      <c r="G153" s="432"/>
      <c r="H153" s="151">
        <f ca="1">IF(J116=1,0,IF(ISERROR(J153),1,0))</f>
        <v>0</v>
      </c>
      <c r="I153" s="146"/>
      <c r="J153" s="441" t="str">
        <f ca="1">VLOOKUP(F31,AE127:AE129,1,FALSE)</f>
        <v>20 cm</v>
      </c>
      <c r="K153" s="374"/>
      <c r="L153" s="374"/>
      <c r="M153" s="374"/>
      <c r="BK153" s="213" t="str">
        <f>""</f>
        <v/>
      </c>
      <c r="BL153" s="35"/>
      <c r="BN153" s="36"/>
      <c r="BO153" s="218">
        <f ca="1"/>
        <v>0</v>
      </c>
      <c r="BQ153" s="22"/>
      <c r="BR153" s="22"/>
      <c r="BS153" s="36"/>
    </row>
    <row r="154" spans="1:71" s="3" customFormat="1" hidden="1" x14ac:dyDescent="0.25">
      <c r="A154" s="390" t="s">
        <v>83</v>
      </c>
      <c r="B154" s="392"/>
      <c r="C154" s="425" t="s">
        <v>75</v>
      </c>
      <c r="D154" s="426"/>
      <c r="E154" s="426"/>
      <c r="F154" s="426"/>
      <c r="G154" s="426"/>
      <c r="H154" s="95">
        <f ca="1">IF(J117=1,0,IF(F33="",1,0))</f>
        <v>0</v>
      </c>
      <c r="I154" s="140"/>
      <c r="J154" s="94"/>
      <c r="K154" s="28"/>
      <c r="L154" s="28"/>
      <c r="M154" s="28"/>
      <c r="N154" s="28"/>
      <c r="O154" s="28"/>
      <c r="P154" s="28"/>
      <c r="BK154" s="213" t="str">
        <f>""</f>
        <v/>
      </c>
      <c r="BL154" s="407" t="s">
        <v>62</v>
      </c>
      <c r="BM154" s="408"/>
      <c r="BN154" s="409"/>
      <c r="BO154" s="217" t="str">
        <f ca="1"/>
        <v>* = Distance measured from the center of the rail.</v>
      </c>
      <c r="BP154" s="211" t="s">
        <v>250</v>
      </c>
      <c r="BQ154" s="159" t="s">
        <v>245</v>
      </c>
      <c r="BR154" s="159"/>
      <c r="BS154" s="215"/>
    </row>
    <row r="155" spans="1:71" s="3" customFormat="1" ht="16.5" hidden="1" customHeight="1" thickBot="1" x14ac:dyDescent="0.3">
      <c r="A155" s="467"/>
      <c r="B155" s="468"/>
      <c r="C155" s="398" t="s">
        <v>76</v>
      </c>
      <c r="D155" s="399"/>
      <c r="E155" s="399"/>
      <c r="F155" s="399"/>
      <c r="G155" s="399"/>
      <c r="H155" s="95">
        <f ca="1">IF(J117=1,0,IF(ISTEXT(F33),1,0))</f>
        <v>0</v>
      </c>
      <c r="I155" s="140"/>
      <c r="J155" s="94"/>
      <c r="K155" s="28"/>
      <c r="L155" s="28"/>
      <c r="M155" s="28"/>
      <c r="N155" s="37"/>
      <c r="O155" s="28"/>
      <c r="P155" s="28"/>
      <c r="BK155" s="213" t="str">
        <f>""</f>
        <v/>
      </c>
      <c r="BL155" s="410"/>
      <c r="BM155" s="411"/>
      <c r="BN155" s="412"/>
      <c r="BO155" s="75" t="str">
        <f ca="1"/>
        <v>- No rights can be derived from this calculation tool.</v>
      </c>
      <c r="BP155" s="11" t="s">
        <v>63</v>
      </c>
      <c r="BQ155" s="220" t="s">
        <v>64</v>
      </c>
      <c r="BR155" s="31"/>
      <c r="BS155" s="109"/>
    </row>
    <row r="156" spans="1:71" s="3" customFormat="1" hidden="1" x14ac:dyDescent="0.25">
      <c r="A156" s="467"/>
      <c r="B156" s="468"/>
      <c r="C156" s="398" t="s">
        <v>77</v>
      </c>
      <c r="D156" s="399"/>
      <c r="E156" s="399"/>
      <c r="F156" s="399"/>
      <c r="G156" s="399"/>
      <c r="H156" s="95">
        <f ca="1">IF(J117=1,0,IF(F33&lt;N156,1,0))</f>
        <v>0</v>
      </c>
      <c r="I156" s="140"/>
      <c r="J156" s="155" t="s">
        <v>79</v>
      </c>
      <c r="K156" s="156"/>
      <c r="L156" s="156"/>
      <c r="M156" s="157"/>
      <c r="N156" s="442">
        <v>5.4</v>
      </c>
      <c r="O156" s="443"/>
      <c r="P156" s="28" t="s">
        <v>23</v>
      </c>
      <c r="BK156" s="213" t="str">
        <f>""</f>
        <v/>
      </c>
      <c r="BL156" s="413"/>
      <c r="BM156" s="414"/>
      <c r="BN156" s="415"/>
      <c r="BO156" s="67" t="str">
        <f ca="1"/>
        <v>! The user interface is not working optimally; please use Microsoft Excel 2021 or later.</v>
      </c>
      <c r="BP156" s="216" t="s">
        <v>65</v>
      </c>
      <c r="BQ156" s="221" t="s">
        <v>66</v>
      </c>
      <c r="BR156" s="79"/>
      <c r="BS156" s="219"/>
    </row>
    <row r="157" spans="1:71" s="3" customFormat="1" ht="15.75" hidden="1" customHeight="1" thickBot="1" x14ac:dyDescent="0.3">
      <c r="A157" s="469"/>
      <c r="B157" s="470"/>
      <c r="C157" s="431" t="s">
        <v>78</v>
      </c>
      <c r="D157" s="432"/>
      <c r="E157" s="432"/>
      <c r="F157" s="432"/>
      <c r="G157" s="432"/>
      <c r="H157" s="151">
        <f ca="1">IF(J117=1,0,IF(F33&gt;N157,1,0))</f>
        <v>0</v>
      </c>
      <c r="I157" s="146"/>
      <c r="J157" s="158" t="s">
        <v>80</v>
      </c>
      <c r="K157" s="37"/>
      <c r="L157" s="37"/>
      <c r="M157" s="38"/>
      <c r="N157" s="433">
        <v>30</v>
      </c>
      <c r="O157" s="434"/>
      <c r="P157" s="28" t="s">
        <v>23</v>
      </c>
      <c r="BK157" s="53" t="str">
        <f>""</f>
        <v/>
      </c>
      <c r="BL157" s="407" t="s">
        <v>227</v>
      </c>
      <c r="BM157" s="408"/>
      <c r="BN157" s="409"/>
      <c r="BO157" s="75" t="str">
        <f ca="1"/>
        <v>CCS</v>
      </c>
      <c r="BP157" s="3" t="s">
        <v>29</v>
      </c>
      <c r="BQ157" s="33" t="s">
        <v>29</v>
      </c>
      <c r="BR157" s="31"/>
      <c r="BS157" s="96"/>
    </row>
    <row r="158" spans="1:71" s="3" customFormat="1" ht="15.75" hidden="1" thickBot="1" x14ac:dyDescent="0.3">
      <c r="H158" s="6"/>
      <c r="J158" s="28"/>
      <c r="K158" s="28"/>
      <c r="L158" s="28"/>
      <c r="M158" s="28"/>
      <c r="N158" s="28"/>
      <c r="O158" s="28"/>
      <c r="P158" s="28"/>
      <c r="BK158" s="53" t="str">
        <f>""</f>
        <v/>
      </c>
      <c r="BL158" s="410"/>
      <c r="BM158" s="411"/>
      <c r="BN158" s="412"/>
      <c r="BO158" s="180" t="str">
        <f ca="1"/>
        <v>CKS</v>
      </c>
      <c r="BP158" s="3" t="s">
        <v>28</v>
      </c>
      <c r="BQ158" s="33" t="s">
        <v>28</v>
      </c>
      <c r="BR158" s="31"/>
      <c r="BS158" s="96"/>
    </row>
    <row r="159" spans="1:71" s="3" customFormat="1" ht="15.75" hidden="1" thickBot="1" x14ac:dyDescent="0.3">
      <c r="A159" s="515" t="s">
        <v>89</v>
      </c>
      <c r="B159" s="516"/>
      <c r="C159" s="425" t="s">
        <v>137</v>
      </c>
      <c r="D159" s="426"/>
      <c r="E159" s="426"/>
      <c r="F159" s="426"/>
      <c r="G159" s="426"/>
      <c r="H159" s="160"/>
      <c r="I159" s="161"/>
      <c r="J159" s="133">
        <f ca="1">IF(F12=BO134,1,IF(F12=BO135,1,0))</f>
        <v>0</v>
      </c>
      <c r="BK159" s="53" t="str">
        <f>""</f>
        <v/>
      </c>
      <c r="BL159" s="410"/>
      <c r="BM159" s="411"/>
      <c r="BN159" s="412"/>
      <c r="BO159" s="180" t="str">
        <f ca="1"/>
        <v>CRS Corded</v>
      </c>
      <c r="BP159" s="3" t="s">
        <v>232</v>
      </c>
      <c r="BQ159" s="33" t="s">
        <v>32</v>
      </c>
      <c r="BR159" s="31"/>
      <c r="BS159" s="96"/>
    </row>
    <row r="160" spans="1:71" s="3" customFormat="1" hidden="1" x14ac:dyDescent="0.25">
      <c r="A160" s="391" t="s">
        <v>84</v>
      </c>
      <c r="B160" s="392"/>
      <c r="C160" s="425" t="s">
        <v>75</v>
      </c>
      <c r="D160" s="426"/>
      <c r="E160" s="426"/>
      <c r="F160" s="426"/>
      <c r="G160" s="426"/>
      <c r="H160" s="149">
        <f ca="1">IF(J159=0,0,IF(F38="",1,0))</f>
        <v>0</v>
      </c>
      <c r="I160" s="150"/>
      <c r="AN160" s="222"/>
      <c r="BK160" s="53" t="str">
        <f>""</f>
        <v/>
      </c>
      <c r="BL160" s="410"/>
      <c r="BM160" s="411"/>
      <c r="BN160" s="412"/>
      <c r="BO160" s="180" t="str">
        <f ca="1"/>
        <v>CS</v>
      </c>
      <c r="BP160" s="3" t="s">
        <v>27</v>
      </c>
      <c r="BQ160" s="33" t="s">
        <v>27</v>
      </c>
      <c r="BR160" s="31"/>
      <c r="BS160" s="96"/>
    </row>
    <row r="161" spans="1:71" s="3" customFormat="1" hidden="1" x14ac:dyDescent="0.25">
      <c r="A161" s="471"/>
      <c r="B161" s="468"/>
      <c r="C161" s="398" t="s">
        <v>224</v>
      </c>
      <c r="D161" s="399"/>
      <c r="E161" s="399"/>
      <c r="F161" s="399"/>
      <c r="G161" s="399"/>
      <c r="H161" s="95">
        <f ca="1">IF(J159=0,0,IF(J116=1,0,IF(ISERROR(J161),0,1)))</f>
        <v>0</v>
      </c>
      <c r="I161" s="140"/>
      <c r="J161" s="441">
        <f ca="1">VLOOKUP(F38,BO166:BO173,1,FALSE)</f>
        <v>0</v>
      </c>
      <c r="K161" s="374"/>
      <c r="L161" s="374"/>
      <c r="M161" s="374"/>
      <c r="BK161" s="53" t="str">
        <f>""</f>
        <v/>
      </c>
      <c r="BL161" s="410"/>
      <c r="BM161" s="411"/>
      <c r="BN161" s="412"/>
      <c r="BO161" s="180" t="str">
        <f ca="1"/>
        <v>FMS (Shuttle)</v>
      </c>
      <c r="BP161" s="3" t="s">
        <v>9</v>
      </c>
      <c r="BQ161" s="33" t="s">
        <v>9</v>
      </c>
      <c r="BR161" s="31"/>
      <c r="BS161" s="96"/>
    </row>
    <row r="162" spans="1:71" s="3" customFormat="1" ht="15.75" hidden="1" thickBot="1" x14ac:dyDescent="0.3">
      <c r="A162" s="472"/>
      <c r="B162" s="470"/>
      <c r="C162" s="433" t="s">
        <v>58</v>
      </c>
      <c r="D162" s="435"/>
      <c r="E162" s="435"/>
      <c r="F162" s="435"/>
      <c r="G162" s="435"/>
      <c r="H162" s="151">
        <f ca="1">IF(J159=0,0,IF(ISERROR(J162),1,0))</f>
        <v>0</v>
      </c>
      <c r="I162" s="146"/>
      <c r="J162" s="441">
        <f ca="1">VLOOKUP(F38,BO157:BO173,1,FALSE)</f>
        <v>0</v>
      </c>
      <c r="K162" s="374"/>
      <c r="L162" s="374"/>
      <c r="M162" s="374"/>
      <c r="BK162" s="53" t="str">
        <f>""</f>
        <v/>
      </c>
      <c r="BL162" s="410"/>
      <c r="BM162" s="411"/>
      <c r="BN162" s="412"/>
      <c r="BO162" s="180" t="str">
        <f ca="1"/>
        <v xml:space="preserve">FMS Plus </v>
      </c>
      <c r="BP162" s="3" t="s">
        <v>71</v>
      </c>
      <c r="BQ162" s="33" t="s">
        <v>30</v>
      </c>
      <c r="BR162" s="31"/>
      <c r="BS162" s="96"/>
    </row>
    <row r="163" spans="1:71" s="3" customFormat="1" hidden="1" x14ac:dyDescent="0.25">
      <c r="A163" s="391" t="s">
        <v>81</v>
      </c>
      <c r="B163" s="392"/>
      <c r="C163" s="425" t="s">
        <v>75</v>
      </c>
      <c r="D163" s="426"/>
      <c r="E163" s="426"/>
      <c r="F163" s="426"/>
      <c r="G163" s="426"/>
      <c r="H163" s="95">
        <f ca="1">IF(J159=0,0,IF(F40="",1,0))</f>
        <v>0</v>
      </c>
      <c r="I163" s="140"/>
      <c r="BK163" s="53" t="str">
        <f>""</f>
        <v/>
      </c>
      <c r="BL163" s="410"/>
      <c r="BM163" s="411"/>
      <c r="BN163" s="412"/>
      <c r="BO163" s="180" t="str">
        <f ca="1"/>
        <v>KS</v>
      </c>
      <c r="BP163" s="3" t="s">
        <v>11</v>
      </c>
      <c r="BQ163" s="33" t="s">
        <v>11</v>
      </c>
      <c r="BR163" s="31"/>
      <c r="BS163" s="96"/>
    </row>
    <row r="164" spans="1:71" s="3" customFormat="1" hidden="1" x14ac:dyDescent="0.25">
      <c r="A164" s="471"/>
      <c r="B164" s="468"/>
      <c r="C164" s="398" t="s">
        <v>224</v>
      </c>
      <c r="D164" s="399"/>
      <c r="E164" s="399"/>
      <c r="F164" s="399"/>
      <c r="G164" s="399"/>
      <c r="H164" s="95">
        <f ca="1">IF(J159=0,0,IF(J116=1,0,IF(ISERROR(J164),0,1)))</f>
        <v>0</v>
      </c>
      <c r="I164" s="140"/>
      <c r="J164" s="441" t="e">
        <f ca="1">IF(K75=1,VLOOKUP(F46,BO166:BO172,1,FALSE),VLOOKUP(F46,BO157:BO165,1,FALSE))</f>
        <v>#N/A</v>
      </c>
      <c r="K164" s="374"/>
      <c r="L164" s="374"/>
      <c r="M164" s="374"/>
      <c r="BK164" s="53" t="str">
        <f>""</f>
        <v/>
      </c>
      <c r="BL164" s="410"/>
      <c r="BM164" s="411"/>
      <c r="BN164" s="412"/>
      <c r="BO164" s="180" t="str">
        <f ca="1"/>
        <v>MRS</v>
      </c>
      <c r="BP164" s="3" t="s">
        <v>33</v>
      </c>
      <c r="BQ164" s="33" t="s">
        <v>33</v>
      </c>
      <c r="BR164" s="31"/>
      <c r="BS164" s="96"/>
    </row>
    <row r="165" spans="1:71" s="3" customFormat="1" ht="15.75" hidden="1" thickBot="1" x14ac:dyDescent="0.3">
      <c r="A165" s="472"/>
      <c r="B165" s="470"/>
      <c r="C165" s="433" t="s">
        <v>58</v>
      </c>
      <c r="D165" s="435"/>
      <c r="E165" s="435"/>
      <c r="F165" s="435"/>
      <c r="G165" s="435"/>
      <c r="H165" s="151">
        <f ca="1">IF(J159=0,0,IF(ISERROR(J165),1,0))</f>
        <v>0</v>
      </c>
      <c r="I165" s="146"/>
      <c r="J165" s="441" t="e">
        <f ca="1">VLOOKUP(F40,BO139:BO140,1,FALSE)</f>
        <v>#N/A</v>
      </c>
      <c r="K165" s="374"/>
      <c r="L165" s="374"/>
      <c r="M165" s="374"/>
      <c r="BK165" s="53" t="str">
        <f>""</f>
        <v/>
      </c>
      <c r="BL165" s="410"/>
      <c r="BM165" s="411"/>
      <c r="BN165" s="412"/>
      <c r="BO165" s="180" t="str">
        <f ca="1"/>
        <v>MRS Universal</v>
      </c>
      <c r="BP165" s="3" t="s">
        <v>233</v>
      </c>
      <c r="BQ165" s="33" t="s">
        <v>34</v>
      </c>
      <c r="BR165" s="31"/>
      <c r="BS165" s="96"/>
    </row>
    <row r="166" spans="1:71" s="3" customFormat="1" hidden="1" x14ac:dyDescent="0.25">
      <c r="A166" s="390" t="s">
        <v>82</v>
      </c>
      <c r="B166" s="392"/>
      <c r="C166" s="425" t="s">
        <v>75</v>
      </c>
      <c r="D166" s="426"/>
      <c r="E166" s="426"/>
      <c r="F166" s="426"/>
      <c r="G166" s="426"/>
      <c r="H166" s="95">
        <f ca="1">IF(J159=0,0,IF(J116=1,0,IF(F42="",1,0)))</f>
        <v>0</v>
      </c>
      <c r="I166" s="152"/>
      <c r="BK166" s="53" t="str">
        <f>""</f>
        <v/>
      </c>
      <c r="BL166" s="410" t="s">
        <v>228</v>
      </c>
      <c r="BM166" s="411"/>
      <c r="BN166" s="412"/>
      <c r="BO166" s="210" t="str">
        <f ca="1"/>
        <v>CRS Square 30</v>
      </c>
      <c r="BP166" s="211" t="s">
        <v>230</v>
      </c>
      <c r="BQ166" s="159" t="s">
        <v>230</v>
      </c>
      <c r="BR166" s="31"/>
      <c r="BS166" s="96"/>
    </row>
    <row r="167" spans="1:71" s="3" customFormat="1" ht="15.75" hidden="1" thickBot="1" x14ac:dyDescent="0.3">
      <c r="A167" s="469"/>
      <c r="B167" s="470"/>
      <c r="C167" s="431" t="s">
        <v>224</v>
      </c>
      <c r="D167" s="432"/>
      <c r="E167" s="432"/>
      <c r="F167" s="432"/>
      <c r="G167" s="432"/>
      <c r="H167" s="151">
        <f ca="1">IF(J159=0,0,IF(J116=1,0,IF(ISERROR(J167),1,0)))</f>
        <v>0</v>
      </c>
      <c r="I167" s="146"/>
      <c r="J167" s="441" t="e">
        <f ca="1">VLOOKUP(F42,AE130:AE132,1,FALSE)</f>
        <v>#N/A</v>
      </c>
      <c r="K167" s="374"/>
      <c r="L167" s="374"/>
      <c r="M167" s="374"/>
      <c r="BK167" s="53" t="str">
        <f>""</f>
        <v/>
      </c>
      <c r="BL167" s="410"/>
      <c r="BM167" s="411"/>
      <c r="BN167" s="412"/>
      <c r="BO167" s="180" t="str">
        <f ca="1"/>
        <v>CRS Rectangular 45</v>
      </c>
      <c r="BP167" s="3" t="s">
        <v>229</v>
      </c>
      <c r="BQ167" s="22" t="s">
        <v>229</v>
      </c>
      <c r="BR167" s="31"/>
      <c r="BS167" s="96"/>
    </row>
    <row r="168" spans="1:71" s="3" customFormat="1" hidden="1" x14ac:dyDescent="0.25">
      <c r="A168" s="390" t="s">
        <v>83</v>
      </c>
      <c r="B168" s="392"/>
      <c r="C168" s="425" t="s">
        <v>75</v>
      </c>
      <c r="D168" s="426"/>
      <c r="E168" s="426"/>
      <c r="F168" s="426"/>
      <c r="G168" s="426"/>
      <c r="H168" s="95">
        <f ca="1">IF(J159=0,0,IF(J118=1,0,IF(F44="",1,0)))</f>
        <v>0</v>
      </c>
      <c r="I168" s="140"/>
      <c r="J168" s="94"/>
      <c r="K168" s="28"/>
      <c r="L168" s="28"/>
      <c r="M168" s="28"/>
      <c r="N168" s="28"/>
      <c r="O168" s="28"/>
      <c r="P168" s="28"/>
      <c r="BK168" s="53" t="str">
        <f>""</f>
        <v/>
      </c>
      <c r="BL168" s="410"/>
      <c r="BM168" s="411"/>
      <c r="BN168" s="412"/>
      <c r="BO168" s="180" t="str">
        <f ca="1"/>
        <v>DSXL</v>
      </c>
      <c r="BP168" s="191" t="s">
        <v>157</v>
      </c>
      <c r="BQ168" s="209" t="s">
        <v>157</v>
      </c>
      <c r="BR168" s="31"/>
      <c r="BS168" s="96"/>
    </row>
    <row r="169" spans="1:71" s="3" customFormat="1" ht="15.75" hidden="1" thickBot="1" x14ac:dyDescent="0.3">
      <c r="A169" s="467"/>
      <c r="B169" s="468"/>
      <c r="C169" s="398" t="s">
        <v>76</v>
      </c>
      <c r="D169" s="399"/>
      <c r="E169" s="399"/>
      <c r="F169" s="399"/>
      <c r="G169" s="399"/>
      <c r="H169" s="95">
        <f ca="1">IF(J159=0,0,IF(J118=1,0,IF(ISTEXT(F44),1,0)))</f>
        <v>0</v>
      </c>
      <c r="I169" s="140"/>
      <c r="J169" s="94"/>
      <c r="K169" s="28"/>
      <c r="L169" s="28"/>
      <c r="M169" s="28"/>
      <c r="N169" s="37"/>
      <c r="O169" s="28"/>
      <c r="P169" s="28"/>
      <c r="BK169" s="53" t="str">
        <f>""</f>
        <v/>
      </c>
      <c r="BL169" s="410"/>
      <c r="BM169" s="411"/>
      <c r="BN169" s="412"/>
      <c r="BO169" s="180" t="str">
        <f ca="1"/>
        <v>DSXL led Motorised</v>
      </c>
      <c r="BP169" s="191" t="s">
        <v>234</v>
      </c>
      <c r="BQ169" s="192" t="s">
        <v>160</v>
      </c>
      <c r="BR169" s="31"/>
      <c r="BS169" s="96"/>
    </row>
    <row r="170" spans="1:71" s="3" customFormat="1" hidden="1" x14ac:dyDescent="0.25">
      <c r="A170" s="467"/>
      <c r="B170" s="468"/>
      <c r="C170" s="398" t="s">
        <v>77</v>
      </c>
      <c r="D170" s="399"/>
      <c r="E170" s="399"/>
      <c r="F170" s="399"/>
      <c r="G170" s="399"/>
      <c r="H170" s="95">
        <f ca="1">IF(J159=0,0,IF(J118=1,0,IF(F44&lt;N170,1,0)))</f>
        <v>0</v>
      </c>
      <c r="I170" s="140"/>
      <c r="J170" s="155" t="s">
        <v>79</v>
      </c>
      <c r="K170" s="156"/>
      <c r="L170" s="156"/>
      <c r="M170" s="157"/>
      <c r="N170" s="442">
        <v>5.4</v>
      </c>
      <c r="O170" s="443"/>
      <c r="P170" s="28" t="s">
        <v>23</v>
      </c>
      <c r="BK170" s="53" t="str">
        <f>""</f>
        <v/>
      </c>
      <c r="BL170" s="410"/>
      <c r="BM170" s="411"/>
      <c r="BN170" s="412"/>
      <c r="BO170" s="180" t="str">
        <f ca="1"/>
        <v>FMS Dual</v>
      </c>
      <c r="BP170" s="191" t="s">
        <v>93</v>
      </c>
      <c r="BQ170" s="192" t="s">
        <v>93</v>
      </c>
      <c r="BR170" s="31"/>
      <c r="BS170" s="96"/>
    </row>
    <row r="171" spans="1:71" s="3" customFormat="1" ht="15.75" hidden="1" customHeight="1" thickBot="1" x14ac:dyDescent="0.6">
      <c r="A171" s="469"/>
      <c r="B171" s="470"/>
      <c r="C171" s="431" t="s">
        <v>78</v>
      </c>
      <c r="D171" s="432"/>
      <c r="E171" s="432"/>
      <c r="F171" s="432"/>
      <c r="G171" s="432"/>
      <c r="H171" s="151">
        <f ca="1">IF(J159=0,0,IF(J118=1,0,IF(F44&gt;N171,1,0)))</f>
        <v>0</v>
      </c>
      <c r="I171" s="146"/>
      <c r="J171" s="158" t="s">
        <v>80</v>
      </c>
      <c r="K171" s="37"/>
      <c r="L171" s="37"/>
      <c r="M171" s="38"/>
      <c r="N171" s="433">
        <v>30</v>
      </c>
      <c r="O171" s="434"/>
      <c r="P171" s="28" t="s">
        <v>23</v>
      </c>
      <c r="U171" s="212"/>
      <c r="V171" s="212"/>
      <c r="W171" s="212"/>
      <c r="X171" s="212"/>
      <c r="Y171" s="212"/>
      <c r="BK171" s="53" t="str">
        <f>""</f>
        <v/>
      </c>
      <c r="BL171" s="410"/>
      <c r="BM171" s="411"/>
      <c r="BN171" s="412"/>
      <c r="BO171" s="180" t="str">
        <f ca="1"/>
        <v>MCS 1/2</v>
      </c>
      <c r="BP171" s="191" t="s">
        <v>158</v>
      </c>
      <c r="BQ171" s="192" t="s">
        <v>158</v>
      </c>
      <c r="BR171" s="31"/>
      <c r="BS171" s="96"/>
    </row>
    <row r="172" spans="1:71" s="3" customFormat="1" ht="15.75" hidden="1" customHeight="1" thickBot="1" x14ac:dyDescent="0.6">
      <c r="H172" s="6"/>
      <c r="U172" s="212"/>
      <c r="V172" s="212"/>
      <c r="W172" s="212"/>
      <c r="X172" s="212"/>
      <c r="Y172" s="212"/>
      <c r="BK172" s="53" t="str">
        <f>""</f>
        <v/>
      </c>
      <c r="BL172" s="413"/>
      <c r="BM172" s="414"/>
      <c r="BN172" s="415"/>
      <c r="BO172" s="193" t="str">
        <f ca="1"/>
        <v>MCS 2/3</v>
      </c>
      <c r="BP172" s="259" t="s">
        <v>159</v>
      </c>
      <c r="BQ172" s="260" t="s">
        <v>159</v>
      </c>
      <c r="BR172" s="31"/>
      <c r="BS172" s="96"/>
    </row>
    <row r="173" spans="1:71" s="3" customFormat="1" ht="15.75" hidden="1" thickBot="1" x14ac:dyDescent="0.3">
      <c r="A173" s="515" t="s">
        <v>92</v>
      </c>
      <c r="B173" s="516"/>
      <c r="C173" s="425" t="s">
        <v>138</v>
      </c>
      <c r="D173" s="426"/>
      <c r="E173" s="426"/>
      <c r="F173" s="426"/>
      <c r="G173" s="426"/>
      <c r="H173" s="160"/>
      <c r="I173" s="161"/>
      <c r="J173" s="133">
        <f ca="1">IF(F12=BO135,1,0)</f>
        <v>0</v>
      </c>
      <c r="U173" s="28"/>
      <c r="V173" s="28"/>
      <c r="W173" s="28"/>
      <c r="X173" s="29"/>
      <c r="Y173" s="28"/>
      <c r="BK173" s="53" t="str">
        <f>""</f>
        <v/>
      </c>
      <c r="BL173" s="94"/>
      <c r="BM173" s="28"/>
      <c r="BN173" s="109"/>
      <c r="BO173" s="3">
        <f ca="1"/>
        <v>0</v>
      </c>
      <c r="BP173" s="94"/>
      <c r="BQ173" s="22"/>
      <c r="BR173" s="31"/>
      <c r="BS173" s="96"/>
    </row>
    <row r="174" spans="1:71" s="3" customFormat="1" hidden="1" x14ac:dyDescent="0.25">
      <c r="A174" s="391" t="s">
        <v>84</v>
      </c>
      <c r="B174" s="392"/>
      <c r="C174" s="425" t="s">
        <v>75</v>
      </c>
      <c r="D174" s="426"/>
      <c r="E174" s="426"/>
      <c r="F174" s="426"/>
      <c r="G174" s="426"/>
      <c r="H174" s="149">
        <f ca="1">IF(J173=0,0,IF(F49="",1,0))</f>
        <v>0</v>
      </c>
      <c r="I174" s="150"/>
      <c r="U174" s="28"/>
      <c r="V174" s="28"/>
      <c r="W174" s="28"/>
      <c r="X174" s="28"/>
      <c r="Y174" s="28"/>
      <c r="BK174" s="53" t="str">
        <f>""</f>
        <v/>
      </c>
      <c r="BL174" s="94"/>
      <c r="BM174" s="28"/>
      <c r="BN174" s="109"/>
      <c r="BO174" s="3">
        <f ca="1"/>
        <v>0</v>
      </c>
      <c r="BP174" s="94"/>
      <c r="BQ174" s="22"/>
      <c r="BR174" s="31"/>
      <c r="BS174" s="96"/>
    </row>
    <row r="175" spans="1:71" s="3" customFormat="1" hidden="1" x14ac:dyDescent="0.25">
      <c r="A175" s="471"/>
      <c r="B175" s="468"/>
      <c r="C175" s="398" t="s">
        <v>224</v>
      </c>
      <c r="D175" s="399"/>
      <c r="E175" s="399"/>
      <c r="F175" s="399"/>
      <c r="G175" s="399"/>
      <c r="H175" s="95">
        <f ca="1">IF(J173=0,0,IF(J116=1,0,IF(ISERROR(J175),0,1)))</f>
        <v>0</v>
      </c>
      <c r="I175" s="140"/>
      <c r="J175" s="441">
        <f ca="1">VLOOKUP(F49,BO166:BO173,1,FALSE)</f>
        <v>0</v>
      </c>
      <c r="K175" s="374"/>
      <c r="L175" s="374"/>
      <c r="M175" s="374"/>
      <c r="U175" s="28"/>
      <c r="V175" s="28"/>
      <c r="W175" s="28"/>
      <c r="X175" s="28"/>
      <c r="Y175" s="28"/>
      <c r="BK175" s="53" t="str">
        <f>""</f>
        <v/>
      </c>
      <c r="BL175" s="94"/>
      <c r="BM175" s="28"/>
      <c r="BN175" s="109"/>
      <c r="BO175" s="3">
        <f ca="1"/>
        <v>0</v>
      </c>
      <c r="BP175" s="94"/>
      <c r="BQ175" s="22"/>
      <c r="BR175" s="79"/>
      <c r="BS175" s="70"/>
    </row>
    <row r="176" spans="1:71" s="3" customFormat="1" ht="15.75" hidden="1" thickBot="1" x14ac:dyDescent="0.3">
      <c r="A176" s="472"/>
      <c r="B176" s="470"/>
      <c r="C176" s="433" t="s">
        <v>58</v>
      </c>
      <c r="D176" s="435"/>
      <c r="E176" s="435"/>
      <c r="F176" s="435"/>
      <c r="G176" s="435"/>
      <c r="H176" s="151">
        <f ca="1">IF(J173=0,0,IF(ISERROR(J176),1,0))</f>
        <v>0</v>
      </c>
      <c r="I176" s="146"/>
      <c r="J176" s="441">
        <f ca="1">VLOOKUP(F49,BO157:BO173,1,FALSE)</f>
        <v>0</v>
      </c>
      <c r="K176" s="374"/>
      <c r="L176" s="374"/>
      <c r="M176" s="374"/>
      <c r="T176" s="28"/>
      <c r="U176" s="28"/>
      <c r="V176" s="28"/>
      <c r="W176" s="28"/>
      <c r="X176" s="28"/>
      <c r="Y176" s="28"/>
      <c r="Z176" s="28"/>
      <c r="AA176" s="28"/>
      <c r="AB176" s="28"/>
      <c r="AG176" s="28"/>
      <c r="AH176" s="28"/>
      <c r="AI176" s="28"/>
      <c r="BK176" s="53" t="str">
        <f>""</f>
        <v/>
      </c>
      <c r="BL176" s="445"/>
      <c r="BM176" s="446"/>
      <c r="BN176" s="508"/>
      <c r="BO176" s="194">
        <f ca="1"/>
        <v>0</v>
      </c>
      <c r="BP176" s="195"/>
      <c r="BQ176" s="196"/>
      <c r="BR176" s="197"/>
      <c r="BS176" s="57"/>
    </row>
    <row r="177" spans="1:71" s="3" customFormat="1" ht="15.75" hidden="1" thickBot="1" x14ac:dyDescent="0.3">
      <c r="A177" s="391" t="s">
        <v>81</v>
      </c>
      <c r="B177" s="392"/>
      <c r="C177" s="425" t="s">
        <v>75</v>
      </c>
      <c r="D177" s="426"/>
      <c r="E177" s="426"/>
      <c r="F177" s="426"/>
      <c r="G177" s="426"/>
      <c r="H177" s="95">
        <f ca="1">IF(J173=0,0,IF(F51="",1,0))</f>
        <v>0</v>
      </c>
      <c r="I177" s="140"/>
      <c r="U177" s="28"/>
      <c r="V177" s="28"/>
      <c r="W177" s="28"/>
      <c r="X177" s="28"/>
      <c r="Y177" s="28"/>
      <c r="Z177" s="28"/>
      <c r="AA177" s="28"/>
      <c r="AB177" s="28"/>
      <c r="AG177" s="28"/>
      <c r="AH177" s="28"/>
      <c r="AI177" s="28"/>
      <c r="AJ177" s="5"/>
      <c r="AK177" s="5"/>
      <c r="BK177" s="198" t="str">
        <f>""</f>
        <v/>
      </c>
      <c r="BL177" s="433" t="s">
        <v>67</v>
      </c>
      <c r="BM177" s="435"/>
      <c r="BN177" s="434"/>
      <c r="BO177" s="199" t="str">
        <f ca="1"/>
        <v>Values ​​are added together</v>
      </c>
      <c r="BP177" s="200" t="s">
        <v>68</v>
      </c>
      <c r="BQ177" s="201" t="s">
        <v>69</v>
      </c>
      <c r="BR177" s="202"/>
      <c r="BS177" s="203"/>
    </row>
    <row r="178" spans="1:71" s="3" customFormat="1" hidden="1" x14ac:dyDescent="0.25">
      <c r="A178" s="471"/>
      <c r="B178" s="468"/>
      <c r="C178" s="398" t="s">
        <v>224</v>
      </c>
      <c r="D178" s="399"/>
      <c r="E178" s="399"/>
      <c r="F178" s="399"/>
      <c r="G178" s="399"/>
      <c r="H178" s="95">
        <f ca="1">IF(J173=0,0,IF(ISERROR(J178),0,1))</f>
        <v>0</v>
      </c>
      <c r="I178" s="140"/>
      <c r="J178" s="441" t="e">
        <f ca="1">IF(F57=BO177,VLOOKUP(F60,BO188:BO232,1,FALSE),VLOOKUP(F60,BO184:BO187,1,FALSE))</f>
        <v>#N/A</v>
      </c>
      <c r="K178" s="374"/>
      <c r="L178" s="374"/>
      <c r="M178" s="374"/>
      <c r="U178" s="28"/>
      <c r="V178" s="28"/>
      <c r="W178" s="28"/>
      <c r="X178" s="28"/>
      <c r="Y178" s="28"/>
      <c r="Z178" s="28"/>
      <c r="AA178" s="28"/>
      <c r="AB178" s="28"/>
      <c r="AG178" s="28"/>
      <c r="AH178" s="28"/>
      <c r="AI178" s="28"/>
      <c r="AJ178" s="5"/>
      <c r="AK178" s="5"/>
    </row>
    <row r="179" spans="1:71" s="3" customFormat="1" ht="15.75" hidden="1" thickBot="1" x14ac:dyDescent="0.3">
      <c r="A179" s="472"/>
      <c r="B179" s="470"/>
      <c r="C179" s="433" t="s">
        <v>58</v>
      </c>
      <c r="D179" s="435"/>
      <c r="E179" s="435"/>
      <c r="F179" s="435"/>
      <c r="G179" s="435"/>
      <c r="H179" s="151"/>
      <c r="I179" s="146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11"/>
      <c r="AF179" s="28"/>
      <c r="AG179" s="28"/>
      <c r="AM179" s="5"/>
    </row>
    <row r="180" spans="1:71" s="3" customFormat="1" hidden="1" x14ac:dyDescent="0.25">
      <c r="A180" s="390" t="s">
        <v>82</v>
      </c>
      <c r="B180" s="392"/>
      <c r="C180" s="425" t="s">
        <v>75</v>
      </c>
      <c r="D180" s="426"/>
      <c r="E180" s="426"/>
      <c r="F180" s="426"/>
      <c r="G180" s="426"/>
      <c r="H180" s="95">
        <f ca="1">IF(J173=0,0,IF(J116=1,0,IF(F53="",1,0)))</f>
        <v>0</v>
      </c>
      <c r="I180" s="152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11"/>
      <c r="AF180" s="28"/>
      <c r="AG180" s="28"/>
      <c r="AM180" s="5"/>
    </row>
    <row r="181" spans="1:71" s="3" customFormat="1" ht="15.75" hidden="1" thickBot="1" x14ac:dyDescent="0.3">
      <c r="A181" s="469"/>
      <c r="B181" s="470"/>
      <c r="C181" s="431" t="s">
        <v>224</v>
      </c>
      <c r="D181" s="432"/>
      <c r="E181" s="432"/>
      <c r="F181" s="432"/>
      <c r="G181" s="432"/>
      <c r="H181" s="151">
        <f ca="1">IF(J173=0,0,IF(J116=1,0,IF(ISERROR(J181),1,0)))</f>
        <v>0</v>
      </c>
      <c r="I181" s="146"/>
      <c r="J181" s="441" t="e">
        <f ca="1">VLOOKUP(F53,AE133:AE135,1,FALSE)</f>
        <v>#N/A</v>
      </c>
      <c r="K181" s="374"/>
      <c r="L181" s="374"/>
      <c r="M181" s="374"/>
    </row>
    <row r="182" spans="1:71" s="3" customFormat="1" hidden="1" x14ac:dyDescent="0.25">
      <c r="A182" s="390" t="s">
        <v>83</v>
      </c>
      <c r="B182" s="392"/>
      <c r="C182" s="425" t="s">
        <v>75</v>
      </c>
      <c r="D182" s="426"/>
      <c r="E182" s="426"/>
      <c r="F182" s="426"/>
      <c r="G182" s="426"/>
      <c r="H182" s="95">
        <f ca="1">IF(J173=0,0,IF(J120=1,0,IF(F55="",1,0)))</f>
        <v>0</v>
      </c>
      <c r="I182" s="140"/>
      <c r="J182" s="94"/>
      <c r="K182" s="28"/>
      <c r="L182" s="28"/>
      <c r="M182" s="28"/>
      <c r="N182" s="28"/>
      <c r="O182" s="28"/>
      <c r="P182" s="28"/>
    </row>
    <row r="183" spans="1:71" s="3" customFormat="1" ht="15.75" hidden="1" thickBot="1" x14ac:dyDescent="0.3">
      <c r="A183" s="467"/>
      <c r="B183" s="468"/>
      <c r="C183" s="398" t="s">
        <v>76</v>
      </c>
      <c r="D183" s="399"/>
      <c r="E183" s="399"/>
      <c r="F183" s="399"/>
      <c r="G183" s="399"/>
      <c r="H183" s="95">
        <f ca="1">IF(J173=0,0,IF(J120=1,0,IF(ISTEXT(F55),1,0)))</f>
        <v>0</v>
      </c>
      <c r="I183" s="140"/>
      <c r="J183" s="94"/>
      <c r="K183" s="28"/>
      <c r="L183" s="28"/>
      <c r="M183" s="28"/>
      <c r="N183" s="37"/>
      <c r="O183" s="28"/>
      <c r="P183" s="28"/>
    </row>
    <row r="184" spans="1:71" s="3" customFormat="1" hidden="1" x14ac:dyDescent="0.25">
      <c r="A184" s="467"/>
      <c r="B184" s="468"/>
      <c r="C184" s="398" t="s">
        <v>77</v>
      </c>
      <c r="D184" s="399"/>
      <c r="E184" s="399"/>
      <c r="F184" s="399"/>
      <c r="G184" s="399"/>
      <c r="H184" s="95">
        <f ca="1">IF(J173=0,0,IF(J120=1,0,IF(F55&lt;N184,1,0)))</f>
        <v>0</v>
      </c>
      <c r="I184" s="140"/>
      <c r="J184" s="155" t="s">
        <v>79</v>
      </c>
      <c r="K184" s="156"/>
      <c r="L184" s="156"/>
      <c r="M184" s="157"/>
      <c r="N184" s="442">
        <v>5.4</v>
      </c>
      <c r="O184" s="443"/>
      <c r="P184" s="28" t="s">
        <v>23</v>
      </c>
    </row>
    <row r="185" spans="1:71" s="3" customFormat="1" ht="15.75" hidden="1" thickBot="1" x14ac:dyDescent="0.3">
      <c r="A185" s="469"/>
      <c r="B185" s="470"/>
      <c r="C185" s="431" t="s">
        <v>78</v>
      </c>
      <c r="D185" s="432"/>
      <c r="E185" s="432"/>
      <c r="F185" s="432"/>
      <c r="G185" s="432"/>
      <c r="H185" s="151">
        <f ca="1">IF(J173=0,0,IF(J120=1,0,IF(F55&gt;N185,1,0)))</f>
        <v>0</v>
      </c>
      <c r="I185" s="146"/>
      <c r="J185" s="158" t="s">
        <v>80</v>
      </c>
      <c r="K185" s="37"/>
      <c r="L185" s="37"/>
      <c r="M185" s="38"/>
      <c r="N185" s="433">
        <v>30</v>
      </c>
      <c r="O185" s="434"/>
      <c r="P185" s="28" t="s">
        <v>23</v>
      </c>
    </row>
    <row r="186" spans="1:71" s="3" customFormat="1" hidden="1" x14ac:dyDescent="0.25">
      <c r="H186" s="6"/>
    </row>
    <row r="187" spans="1:71" s="3" customFormat="1" hidden="1" x14ac:dyDescent="0.25">
      <c r="H187" s="6"/>
    </row>
    <row r="188" spans="1:71" s="3" customFormat="1" hidden="1" x14ac:dyDescent="0.25">
      <c r="H188" s="6"/>
    </row>
    <row r="189" spans="1:71" s="3" customFormat="1" hidden="1" x14ac:dyDescent="0.25">
      <c r="H189" s="6"/>
    </row>
    <row r="190" spans="1:71" s="3" customFormat="1" hidden="1" x14ac:dyDescent="0.25">
      <c r="H190" s="6"/>
    </row>
    <row r="191" spans="1:71" s="3" customFormat="1" hidden="1" x14ac:dyDescent="0.25">
      <c r="H191" s="6"/>
    </row>
    <row r="277" spans="63:76" ht="408.75" customHeight="1" x14ac:dyDescent="0.25">
      <c r="BV277" s="224"/>
      <c r="BW277" s="224"/>
      <c r="BX277" s="224"/>
    </row>
    <row r="278" spans="63:76" ht="408.75" customHeight="1" x14ac:dyDescent="0.25">
      <c r="BV278" s="224"/>
      <c r="BW278" s="224"/>
      <c r="BX278" s="224"/>
    </row>
    <row r="279" spans="63:76" ht="408.75" customHeight="1" x14ac:dyDescent="0.25">
      <c r="BK279" s="223"/>
      <c r="BV279" s="224"/>
      <c r="BW279" s="224"/>
      <c r="BX279" s="224"/>
    </row>
    <row r="280" spans="63:76" ht="408.75" customHeight="1" x14ac:dyDescent="0.25">
      <c r="BV280" s="224"/>
      <c r="BW280" s="224"/>
      <c r="BX280" s="224"/>
    </row>
    <row r="281" spans="63:76" ht="408.75" customHeight="1" x14ac:dyDescent="0.25">
      <c r="BV281" s="224"/>
      <c r="BW281" s="224"/>
      <c r="BX281" s="224"/>
    </row>
    <row r="282" spans="63:76" ht="408.75" customHeight="1" x14ac:dyDescent="0.25">
      <c r="BV282" s="224"/>
      <c r="BW282" s="224"/>
      <c r="BX282" s="224"/>
    </row>
    <row r="283" spans="63:76" ht="408.75" customHeight="1" x14ac:dyDescent="0.25">
      <c r="BV283" s="224"/>
      <c r="BW283" s="224"/>
      <c r="BX283" s="224"/>
    </row>
    <row r="284" spans="63:76" ht="408.75" customHeight="1" x14ac:dyDescent="0.25">
      <c r="BV284" s="224"/>
      <c r="BW284" s="224"/>
      <c r="BX284" s="224"/>
    </row>
    <row r="285" spans="63:76" ht="408.75" customHeight="1" x14ac:dyDescent="0.25">
      <c r="BV285" s="224"/>
      <c r="BW285" s="224"/>
      <c r="BX285" s="224"/>
    </row>
    <row r="286" spans="63:76" ht="408.75" customHeight="1" x14ac:dyDescent="0.25">
      <c r="BV286" s="224"/>
      <c r="BW286" s="224"/>
      <c r="BX286" s="224"/>
    </row>
    <row r="287" spans="63:76" ht="408.75" customHeight="1" x14ac:dyDescent="0.25">
      <c r="BV287" s="224"/>
      <c r="BW287" s="224"/>
      <c r="BX287" s="224"/>
    </row>
    <row r="288" spans="63:76" ht="408.75" customHeight="1" x14ac:dyDescent="0.25">
      <c r="BV288" s="224"/>
      <c r="BW288" s="224"/>
      <c r="BX288" s="224"/>
    </row>
    <row r="289" ht="408.75" customHeight="1" x14ac:dyDescent="0.25"/>
  </sheetData>
  <sheetProtection algorithmName="SHA-512" hashValue="nnn7oNphxWuYLzApx9oJ7xEQPN7xLgHD+lg46PfPc+sSEXbGJl49MGOZNLoI/jKB0DQaRHRW4WkFjHVbYs6BTQ==" saltValue="aszUTQHaQJpQzDbgPMORmw==" spinCount="100000" sheet="1" objects="1" scenarios="1" selectLockedCells="1"/>
  <mergeCells count="565">
    <mergeCell ref="AS54:AT55"/>
    <mergeCell ref="AS36:AT36"/>
    <mergeCell ref="AS37:AT37"/>
    <mergeCell ref="AS38:AT38"/>
    <mergeCell ref="AS41:AT41"/>
    <mergeCell ref="AO31:AX33"/>
    <mergeCell ref="AP42:AQ42"/>
    <mergeCell ref="AP43:AQ43"/>
    <mergeCell ref="AP46:AQ46"/>
    <mergeCell ref="AP47:AQ47"/>
    <mergeCell ref="BL157:BN165"/>
    <mergeCell ref="AC34:AC35"/>
    <mergeCell ref="AL34:AL35"/>
    <mergeCell ref="AR34:AR35"/>
    <mergeCell ref="AU34:AU35"/>
    <mergeCell ref="AX34:AX35"/>
    <mergeCell ref="AE109:AH109"/>
    <mergeCell ref="AE108:AH108"/>
    <mergeCell ref="AE107:AH107"/>
    <mergeCell ref="AE106:AH106"/>
    <mergeCell ref="AE105:AH105"/>
    <mergeCell ref="AE101:AH101"/>
    <mergeCell ref="AE95:AH95"/>
    <mergeCell ref="AE96:AH96"/>
    <mergeCell ref="AE97:AH97"/>
    <mergeCell ref="AE98:AH98"/>
    <mergeCell ref="AV51:AW51"/>
    <mergeCell ref="AV52:AW52"/>
    <mergeCell ref="AV53:AW53"/>
    <mergeCell ref="AV36:AW36"/>
    <mergeCell ref="AV37:AW37"/>
    <mergeCell ref="AV38:AW38"/>
    <mergeCell ref="AO44:AO45"/>
    <mergeCell ref="AS39:AT39"/>
    <mergeCell ref="AP39:AQ39"/>
    <mergeCell ref="AI34:AI35"/>
    <mergeCell ref="AD34:AE35"/>
    <mergeCell ref="AP36:AQ36"/>
    <mergeCell ref="AP38:AQ38"/>
    <mergeCell ref="AP41:AQ41"/>
    <mergeCell ref="W31:AF33"/>
    <mergeCell ref="BL154:BN156"/>
    <mergeCell ref="AI30:AM31"/>
    <mergeCell ref="BL111:BN122"/>
    <mergeCell ref="AX49:AX50"/>
    <mergeCell ref="AX44:AX45"/>
    <mergeCell ref="AR44:AR45"/>
    <mergeCell ref="AU44:AU45"/>
    <mergeCell ref="AU49:AU50"/>
    <mergeCell ref="AR49:AR50"/>
    <mergeCell ref="AU54:AU55"/>
    <mergeCell ref="AR54:AR55"/>
    <mergeCell ref="AS34:AT35"/>
    <mergeCell ref="AV34:AW35"/>
    <mergeCell ref="AV44:AW45"/>
    <mergeCell ref="AV46:AW46"/>
    <mergeCell ref="AV47:AW47"/>
    <mergeCell ref="AV48:AW48"/>
    <mergeCell ref="AV49:AW50"/>
    <mergeCell ref="AO54:AO55"/>
    <mergeCell ref="AP37:AQ37"/>
    <mergeCell ref="AP52:AQ52"/>
    <mergeCell ref="AP48:AQ48"/>
    <mergeCell ref="AP44:AQ45"/>
    <mergeCell ref="AG34:AH35"/>
    <mergeCell ref="AJ34:AK35"/>
    <mergeCell ref="AP34:AQ35"/>
    <mergeCell ref="AP54:AQ55"/>
    <mergeCell ref="AD45:AE45"/>
    <mergeCell ref="AD44:AE44"/>
    <mergeCell ref="AD47:AE47"/>
    <mergeCell ref="AD39:AE39"/>
    <mergeCell ref="AJ52:AK52"/>
    <mergeCell ref="AJ54:AK54"/>
    <mergeCell ref="AJ44:AK44"/>
    <mergeCell ref="AJ45:AK45"/>
    <mergeCell ref="AJ37:AK37"/>
    <mergeCell ref="AJ39:AK39"/>
    <mergeCell ref="AJ40:AK40"/>
    <mergeCell ref="AJ42:AK42"/>
    <mergeCell ref="AJ49:AK49"/>
    <mergeCell ref="AJ50:AK50"/>
    <mergeCell ref="AO49:AO50"/>
    <mergeCell ref="AO39:AO40"/>
    <mergeCell ref="AF34:AF35"/>
    <mergeCell ref="AG52:AH52"/>
    <mergeCell ref="AD52:AE52"/>
    <mergeCell ref="A136:B139"/>
    <mergeCell ref="A159:B159"/>
    <mergeCell ref="AX54:AX55"/>
    <mergeCell ref="AV39:AW39"/>
    <mergeCell ref="AP40:AQ40"/>
    <mergeCell ref="AS40:AT40"/>
    <mergeCell ref="AV40:AW40"/>
    <mergeCell ref="AV54:AW55"/>
    <mergeCell ref="AS47:AT47"/>
    <mergeCell ref="AS48:AT48"/>
    <mergeCell ref="AS49:AT50"/>
    <mergeCell ref="AS51:AT51"/>
    <mergeCell ref="AS52:AT52"/>
    <mergeCell ref="AS53:AT53"/>
    <mergeCell ref="AV41:AW41"/>
    <mergeCell ref="AV42:AW42"/>
    <mergeCell ref="AV43:AW43"/>
    <mergeCell ref="AS43:AT43"/>
    <mergeCell ref="AS44:AT45"/>
    <mergeCell ref="AS46:AT46"/>
    <mergeCell ref="AS42:AT42"/>
    <mergeCell ref="AP51:AQ51"/>
    <mergeCell ref="AP53:AQ53"/>
    <mergeCell ref="AP49:AQ50"/>
    <mergeCell ref="N156:O156"/>
    <mergeCell ref="J148:M148"/>
    <mergeCell ref="A145:B145"/>
    <mergeCell ref="A152:B153"/>
    <mergeCell ref="C154:G154"/>
    <mergeCell ref="C155:G155"/>
    <mergeCell ref="C156:G156"/>
    <mergeCell ref="C157:G157"/>
    <mergeCell ref="C162:G162"/>
    <mergeCell ref="A154:B157"/>
    <mergeCell ref="C175:G175"/>
    <mergeCell ref="A174:B176"/>
    <mergeCell ref="C147:G147"/>
    <mergeCell ref="C161:G161"/>
    <mergeCell ref="A146:B148"/>
    <mergeCell ref="A160:B162"/>
    <mergeCell ref="A149:B151"/>
    <mergeCell ref="C164:G164"/>
    <mergeCell ref="C174:G174"/>
    <mergeCell ref="C176:G176"/>
    <mergeCell ref="A36:A37"/>
    <mergeCell ref="K63:K72"/>
    <mergeCell ref="AI78:AJ78"/>
    <mergeCell ref="AM79:AN79"/>
    <mergeCell ref="AK95:AL95"/>
    <mergeCell ref="AI108:AJ108"/>
    <mergeCell ref="AI95:AJ95"/>
    <mergeCell ref="AI96:AJ96"/>
    <mergeCell ref="AI97:AJ97"/>
    <mergeCell ref="AI92:AJ92"/>
    <mergeCell ref="AI105:AJ105"/>
    <mergeCell ref="AK102:AL102"/>
    <mergeCell ref="AI80:AJ80"/>
    <mergeCell ref="AK96:AL96"/>
    <mergeCell ref="AK97:AL97"/>
    <mergeCell ref="AK98:AL98"/>
    <mergeCell ref="AE80:AH80"/>
    <mergeCell ref="AE79:AH79"/>
    <mergeCell ref="AE78:AH78"/>
    <mergeCell ref="AE89:AH89"/>
    <mergeCell ref="AI89:AJ89"/>
    <mergeCell ref="AK89:AL89"/>
    <mergeCell ref="AM89:AN89"/>
    <mergeCell ref="AE91:AH91"/>
    <mergeCell ref="A180:B181"/>
    <mergeCell ref="BL166:BN172"/>
    <mergeCell ref="N170:O170"/>
    <mergeCell ref="C180:G180"/>
    <mergeCell ref="C181:G181"/>
    <mergeCell ref="C163:G163"/>
    <mergeCell ref="C165:G165"/>
    <mergeCell ref="C166:G166"/>
    <mergeCell ref="A168:B171"/>
    <mergeCell ref="C168:G168"/>
    <mergeCell ref="C169:G169"/>
    <mergeCell ref="C170:G170"/>
    <mergeCell ref="C171:G171"/>
    <mergeCell ref="N171:O171"/>
    <mergeCell ref="BL177:BN177"/>
    <mergeCell ref="BL176:BN176"/>
    <mergeCell ref="A173:B173"/>
    <mergeCell ref="C173:G173"/>
    <mergeCell ref="J178:M178"/>
    <mergeCell ref="A163:B165"/>
    <mergeCell ref="C177:G177"/>
    <mergeCell ref="C179:G179"/>
    <mergeCell ref="A166:B167"/>
    <mergeCell ref="C167:G167"/>
    <mergeCell ref="BL133:BN151"/>
    <mergeCell ref="B25:J26"/>
    <mergeCell ref="B36:J37"/>
    <mergeCell ref="B47:J48"/>
    <mergeCell ref="S87:T87"/>
    <mergeCell ref="C136:G136"/>
    <mergeCell ref="C137:G137"/>
    <mergeCell ref="C138:G138"/>
    <mergeCell ref="N138:O138"/>
    <mergeCell ref="S82:T82"/>
    <mergeCell ref="S83:T83"/>
    <mergeCell ref="C119:G119"/>
    <mergeCell ref="C120:G120"/>
    <mergeCell ref="C121:G121"/>
    <mergeCell ref="AM77:AN77"/>
    <mergeCell ref="AK77:AL77"/>
    <mergeCell ref="AI77:AJ77"/>
    <mergeCell ref="AK105:AL105"/>
    <mergeCell ref="AI82:AJ82"/>
    <mergeCell ref="AI86:AJ86"/>
    <mergeCell ref="AI87:AJ87"/>
    <mergeCell ref="AI88:AJ88"/>
    <mergeCell ref="W131:AA131"/>
    <mergeCell ref="W132:AA132"/>
    <mergeCell ref="AM105:AN105"/>
    <mergeCell ref="AI110:AJ110"/>
    <mergeCell ref="AK110:AL110"/>
    <mergeCell ref="AK92:AL92"/>
    <mergeCell ref="A89:F89"/>
    <mergeCell ref="A87:F87"/>
    <mergeCell ref="A86:F86"/>
    <mergeCell ref="S91:T91"/>
    <mergeCell ref="S92:T92"/>
    <mergeCell ref="A92:F92"/>
    <mergeCell ref="AE110:AH110"/>
    <mergeCell ref="AE102:AH102"/>
    <mergeCell ref="AE103:AH103"/>
    <mergeCell ref="AE104:AH104"/>
    <mergeCell ref="AE92:AH92"/>
    <mergeCell ref="AE93:AH93"/>
    <mergeCell ref="AE94:AH94"/>
    <mergeCell ref="AE99:AH99"/>
    <mergeCell ref="AI99:AJ99"/>
    <mergeCell ref="AI98:AJ98"/>
    <mergeCell ref="AI94:AJ94"/>
    <mergeCell ref="V103:W103"/>
    <mergeCell ref="BL93:BN103"/>
    <mergeCell ref="W127:AA127"/>
    <mergeCell ref="W128:AA128"/>
    <mergeCell ref="W129:AA129"/>
    <mergeCell ref="W130:AA130"/>
    <mergeCell ref="S88:T88"/>
    <mergeCell ref="S90:T90"/>
    <mergeCell ref="AM109:AN109"/>
    <mergeCell ref="AM110:AN110"/>
    <mergeCell ref="AK109:AL109"/>
    <mergeCell ref="AM98:AN98"/>
    <mergeCell ref="AK108:AL108"/>
    <mergeCell ref="V105:W105"/>
    <mergeCell ref="AY126:BC126"/>
    <mergeCell ref="AI104:AJ104"/>
    <mergeCell ref="AK104:AL104"/>
    <mergeCell ref="AM104:AN104"/>
    <mergeCell ref="AI125:AM125"/>
    <mergeCell ref="AI126:AL126"/>
    <mergeCell ref="AM106:AN106"/>
    <mergeCell ref="AM107:AN107"/>
    <mergeCell ref="AM108:AN108"/>
    <mergeCell ref="AM95:AN95"/>
    <mergeCell ref="AM96:AN96"/>
    <mergeCell ref="A182:B185"/>
    <mergeCell ref="C182:G182"/>
    <mergeCell ref="C183:G183"/>
    <mergeCell ref="C184:G184"/>
    <mergeCell ref="N184:O184"/>
    <mergeCell ref="C185:G185"/>
    <mergeCell ref="N185:O185"/>
    <mergeCell ref="C134:G134"/>
    <mergeCell ref="C135:G135"/>
    <mergeCell ref="C153:G153"/>
    <mergeCell ref="J181:M181"/>
    <mergeCell ref="J162:M162"/>
    <mergeCell ref="J165:M165"/>
    <mergeCell ref="J167:M167"/>
    <mergeCell ref="N157:O157"/>
    <mergeCell ref="A177:B179"/>
    <mergeCell ref="C178:G178"/>
    <mergeCell ref="J176:M176"/>
    <mergeCell ref="J175:M175"/>
    <mergeCell ref="J147:M147"/>
    <mergeCell ref="J161:M161"/>
    <mergeCell ref="J150:M150"/>
    <mergeCell ref="J164:M164"/>
    <mergeCell ref="J151:M151"/>
    <mergeCell ref="A127:B128"/>
    <mergeCell ref="C127:G127"/>
    <mergeCell ref="C128:G128"/>
    <mergeCell ref="C129:G129"/>
    <mergeCell ref="C131:G131"/>
    <mergeCell ref="A132:B135"/>
    <mergeCell ref="C132:G132"/>
    <mergeCell ref="A129:B131"/>
    <mergeCell ref="AI106:AJ106"/>
    <mergeCell ref="A125:B126"/>
    <mergeCell ref="AI107:AJ107"/>
    <mergeCell ref="AI109:AJ109"/>
    <mergeCell ref="W133:AA133"/>
    <mergeCell ref="W134:AA134"/>
    <mergeCell ref="W135:AA135"/>
    <mergeCell ref="W113:AC113"/>
    <mergeCell ref="W112:AC112"/>
    <mergeCell ref="N135:O135"/>
    <mergeCell ref="J130:M130"/>
    <mergeCell ref="C116:G116"/>
    <mergeCell ref="A116:B123"/>
    <mergeCell ref="C151:G151"/>
    <mergeCell ref="C152:G152"/>
    <mergeCell ref="C142:G142"/>
    <mergeCell ref="N142:O142"/>
    <mergeCell ref="AM97:AN97"/>
    <mergeCell ref="N134:O134"/>
    <mergeCell ref="AA103:AC103"/>
    <mergeCell ref="AA104:AC104"/>
    <mergeCell ref="AA105:AC105"/>
    <mergeCell ref="V104:W104"/>
    <mergeCell ref="AK106:AL106"/>
    <mergeCell ref="AK107:AL107"/>
    <mergeCell ref="J128:M128"/>
    <mergeCell ref="C122:G122"/>
    <mergeCell ref="C123:G123"/>
    <mergeCell ref="C133:G133"/>
    <mergeCell ref="C130:G130"/>
    <mergeCell ref="C145:G145"/>
    <mergeCell ref="C146:G146"/>
    <mergeCell ref="C148:G148"/>
    <mergeCell ref="C149:G149"/>
    <mergeCell ref="AI102:AJ102"/>
    <mergeCell ref="AM103:AN103"/>
    <mergeCell ref="AK99:AL99"/>
    <mergeCell ref="C159:G159"/>
    <mergeCell ref="C160:G160"/>
    <mergeCell ref="A140:B143"/>
    <mergeCell ref="C140:G140"/>
    <mergeCell ref="C141:G141"/>
    <mergeCell ref="C139:G139"/>
    <mergeCell ref="C143:G143"/>
    <mergeCell ref="N143:O143"/>
    <mergeCell ref="BL81:BN92"/>
    <mergeCell ref="AQ125:AV125"/>
    <mergeCell ref="AX125:BC125"/>
    <mergeCell ref="S81:T81"/>
    <mergeCell ref="AK82:AL82"/>
    <mergeCell ref="AM92:AN92"/>
    <mergeCell ref="AE81:AH81"/>
    <mergeCell ref="C125:G125"/>
    <mergeCell ref="C126:G126"/>
    <mergeCell ref="C118:G118"/>
    <mergeCell ref="J153:M153"/>
    <mergeCell ref="C150:G150"/>
    <mergeCell ref="N139:O139"/>
    <mergeCell ref="J131:M131"/>
    <mergeCell ref="J126:M126"/>
    <mergeCell ref="AM82:AN82"/>
    <mergeCell ref="BL79:BN80"/>
    <mergeCell ref="C115:G115"/>
    <mergeCell ref="C117:G117"/>
    <mergeCell ref="V107:X107"/>
    <mergeCell ref="V108:X108"/>
    <mergeCell ref="W126:AA126"/>
    <mergeCell ref="AC126:AG126"/>
    <mergeCell ref="A88:F88"/>
    <mergeCell ref="S89:T89"/>
    <mergeCell ref="S84:T84"/>
    <mergeCell ref="S85:T85"/>
    <mergeCell ref="S86:T86"/>
    <mergeCell ref="AK93:AL93"/>
    <mergeCell ref="BL104:BN110"/>
    <mergeCell ref="A94:F94"/>
    <mergeCell ref="A95:F95"/>
    <mergeCell ref="A80:F80"/>
    <mergeCell ref="H110:H114"/>
    <mergeCell ref="V110:AC110"/>
    <mergeCell ref="W111:AC111"/>
    <mergeCell ref="I110:I114"/>
    <mergeCell ref="AM94:AN94"/>
    <mergeCell ref="S80:T80"/>
    <mergeCell ref="S96:T96"/>
    <mergeCell ref="A96:F96"/>
    <mergeCell ref="A74:F74"/>
    <mergeCell ref="A85:F85"/>
    <mergeCell ref="A76:F76"/>
    <mergeCell ref="G63:J72"/>
    <mergeCell ref="A78:F78"/>
    <mergeCell ref="A81:F81"/>
    <mergeCell ref="A73:F73"/>
    <mergeCell ref="A84:F84"/>
    <mergeCell ref="A82:F82"/>
    <mergeCell ref="A90:F90"/>
    <mergeCell ref="A91:F91"/>
    <mergeCell ref="M51:T52"/>
    <mergeCell ref="S78:T78"/>
    <mergeCell ref="S79:T79"/>
    <mergeCell ref="X52:AC52"/>
    <mergeCell ref="AM84:AN84"/>
    <mergeCell ref="AG54:AH54"/>
    <mergeCell ref="AD54:AE54"/>
    <mergeCell ref="AI85:AJ85"/>
    <mergeCell ref="AI83:AJ83"/>
    <mergeCell ref="AK83:AL83"/>
    <mergeCell ref="AM83:AN83"/>
    <mergeCell ref="X54:AC54"/>
    <mergeCell ref="Q63:Q72"/>
    <mergeCell ref="R63:R72"/>
    <mergeCell ref="M70:M72"/>
    <mergeCell ref="N70:N72"/>
    <mergeCell ref="S94:T94"/>
    <mergeCell ref="S95:T95"/>
    <mergeCell ref="A58:Q58"/>
    <mergeCell ref="B53:E53"/>
    <mergeCell ref="F53:J54"/>
    <mergeCell ref="A59:Q59"/>
    <mergeCell ref="A53:A54"/>
    <mergeCell ref="G74:J74"/>
    <mergeCell ref="G75:J75"/>
    <mergeCell ref="A75:F75"/>
    <mergeCell ref="A72:F72"/>
    <mergeCell ref="A79:F79"/>
    <mergeCell ref="A83:F83"/>
    <mergeCell ref="A77:F77"/>
    <mergeCell ref="S77:T77"/>
    <mergeCell ref="A1:D1"/>
    <mergeCell ref="A2:D2"/>
    <mergeCell ref="E1:E2"/>
    <mergeCell ref="B27:E28"/>
    <mergeCell ref="B31:E31"/>
    <mergeCell ref="B32:E32"/>
    <mergeCell ref="B34:E34"/>
    <mergeCell ref="B33:E33"/>
    <mergeCell ref="A16:A17"/>
    <mergeCell ref="B16:E17"/>
    <mergeCell ref="B29:E29"/>
    <mergeCell ref="B30:E30"/>
    <mergeCell ref="A27:A28"/>
    <mergeCell ref="A29:A30"/>
    <mergeCell ref="A31:A32"/>
    <mergeCell ref="A33:A34"/>
    <mergeCell ref="B21:E21"/>
    <mergeCell ref="B15:E15"/>
    <mergeCell ref="A20:A21"/>
    <mergeCell ref="B20:E20"/>
    <mergeCell ref="A11:B11"/>
    <mergeCell ref="B18:E18"/>
    <mergeCell ref="B19:E19"/>
    <mergeCell ref="A12:A13"/>
    <mergeCell ref="B43:E43"/>
    <mergeCell ref="A40:A41"/>
    <mergeCell ref="A55:A56"/>
    <mergeCell ref="B55:E55"/>
    <mergeCell ref="F55:J56"/>
    <mergeCell ref="K55:L56"/>
    <mergeCell ref="M55:T56"/>
    <mergeCell ref="B56:E56"/>
    <mergeCell ref="G73:J73"/>
    <mergeCell ref="O63:O72"/>
    <mergeCell ref="P63:P72"/>
    <mergeCell ref="A60:Q60"/>
    <mergeCell ref="M63:N69"/>
    <mergeCell ref="S63:T72"/>
    <mergeCell ref="K53:L54"/>
    <mergeCell ref="M53:T54"/>
    <mergeCell ref="B54:E54"/>
    <mergeCell ref="K44:L45"/>
    <mergeCell ref="B45:E45"/>
    <mergeCell ref="K40:L41"/>
    <mergeCell ref="M40:T41"/>
    <mergeCell ref="B41:E41"/>
    <mergeCell ref="B40:E40"/>
    <mergeCell ref="F40:J41"/>
    <mergeCell ref="F8:S9"/>
    <mergeCell ref="B38:E39"/>
    <mergeCell ref="F38:J39"/>
    <mergeCell ref="K38:L39"/>
    <mergeCell ref="M38:T39"/>
    <mergeCell ref="F29:J30"/>
    <mergeCell ref="F16:J17"/>
    <mergeCell ref="K16:L17"/>
    <mergeCell ref="F27:J28"/>
    <mergeCell ref="M16:T17"/>
    <mergeCell ref="K20:L21"/>
    <mergeCell ref="M20:T21"/>
    <mergeCell ref="F14:J15"/>
    <mergeCell ref="K14:L15"/>
    <mergeCell ref="M14:T15"/>
    <mergeCell ref="B14:E14"/>
    <mergeCell ref="J20:J21"/>
    <mergeCell ref="M33:T34"/>
    <mergeCell ref="J22:J23"/>
    <mergeCell ref="K22:L23"/>
    <mergeCell ref="M22:T23"/>
    <mergeCell ref="M27:T28"/>
    <mergeCell ref="M29:T30"/>
    <mergeCell ref="M31:T32"/>
    <mergeCell ref="K49:L50"/>
    <mergeCell ref="M49:T50"/>
    <mergeCell ref="F20:I21"/>
    <mergeCell ref="F22:I23"/>
    <mergeCell ref="K51:L52"/>
    <mergeCell ref="A51:A52"/>
    <mergeCell ref="B51:E51"/>
    <mergeCell ref="F51:J52"/>
    <mergeCell ref="B52:E52"/>
    <mergeCell ref="A47:A48"/>
    <mergeCell ref="A44:A45"/>
    <mergeCell ref="B44:E44"/>
    <mergeCell ref="F44:J45"/>
    <mergeCell ref="A38:A39"/>
    <mergeCell ref="A49:A50"/>
    <mergeCell ref="B49:E50"/>
    <mergeCell ref="F49:J50"/>
    <mergeCell ref="K27:L28"/>
    <mergeCell ref="M44:T45"/>
    <mergeCell ref="A42:A43"/>
    <mergeCell ref="B42:E42"/>
    <mergeCell ref="F42:J43"/>
    <mergeCell ref="K42:L43"/>
    <mergeCell ref="M42:T43"/>
    <mergeCell ref="F12:J13"/>
    <mergeCell ref="K12:L13"/>
    <mergeCell ref="M12:T13"/>
    <mergeCell ref="B12:E13"/>
    <mergeCell ref="K29:L30"/>
    <mergeCell ref="K31:L32"/>
    <mergeCell ref="K33:L34"/>
    <mergeCell ref="F31:J32"/>
    <mergeCell ref="F33:J34"/>
    <mergeCell ref="A22:A23"/>
    <mergeCell ref="B22:E22"/>
    <mergeCell ref="A14:A15"/>
    <mergeCell ref="B23:E23"/>
    <mergeCell ref="A18:A19"/>
    <mergeCell ref="F18:J19"/>
    <mergeCell ref="K18:L19"/>
    <mergeCell ref="M18:T19"/>
    <mergeCell ref="A25:A26"/>
    <mergeCell ref="X37:AC37"/>
    <mergeCell ref="AD42:AE42"/>
    <mergeCell ref="AD49:AE49"/>
    <mergeCell ref="AD50:AE50"/>
    <mergeCell ref="AD37:AE37"/>
    <mergeCell ref="AG37:AH37"/>
    <mergeCell ref="AG39:AH39"/>
    <mergeCell ref="AG40:AH40"/>
    <mergeCell ref="AG42:AH42"/>
    <mergeCell ref="AG49:AH49"/>
    <mergeCell ref="AG50:AH50"/>
    <mergeCell ref="AG44:AH44"/>
    <mergeCell ref="AG45:AH45"/>
    <mergeCell ref="X47:AC47"/>
    <mergeCell ref="X49:AC49"/>
    <mergeCell ref="X39:AC39"/>
    <mergeCell ref="X40:AC40"/>
    <mergeCell ref="X45:AC45"/>
    <mergeCell ref="X42:AC42"/>
    <mergeCell ref="X44:AC44"/>
    <mergeCell ref="AD40:AE40"/>
    <mergeCell ref="X50:AB50"/>
    <mergeCell ref="AI93:AJ93"/>
    <mergeCell ref="AM93:AN93"/>
    <mergeCell ref="AK94:AL94"/>
    <mergeCell ref="AI103:AJ103"/>
    <mergeCell ref="AK103:AL103"/>
    <mergeCell ref="AI84:AJ84"/>
    <mergeCell ref="AK84:AL84"/>
    <mergeCell ref="AG47:AH47"/>
    <mergeCell ref="AJ47:AK47"/>
    <mergeCell ref="AM102:AN102"/>
    <mergeCell ref="AM80:AN80"/>
    <mergeCell ref="AM85:AN85"/>
    <mergeCell ref="AM86:AN86"/>
    <mergeCell ref="AM87:AN87"/>
    <mergeCell ref="AM88:AN88"/>
    <mergeCell ref="AK85:AL85"/>
    <mergeCell ref="AK86:AL86"/>
    <mergeCell ref="AK87:AL87"/>
    <mergeCell ref="AK88:AL88"/>
    <mergeCell ref="AM99:AN99"/>
  </mergeCells>
  <phoneticPr fontId="12" type="noConversion"/>
  <conditionalFormatting sqref="W34:W45">
    <cfRule type="expression" dxfId="90" priority="101">
      <formula>$H$115=0</formula>
    </cfRule>
  </conditionalFormatting>
  <conditionalFormatting sqref="W46:W50 AO46:AO50">
    <cfRule type="expression" dxfId="89" priority="353">
      <formula>$AZ$111=1</formula>
    </cfRule>
  </conditionalFormatting>
  <conditionalFormatting sqref="W51:W55 AO51:AO55">
    <cfRule type="expression" dxfId="88" priority="355">
      <formula>$BB$107=1</formula>
    </cfRule>
  </conditionalFormatting>
  <conditionalFormatting sqref="W34:AF34">
    <cfRule type="expression" dxfId="87" priority="102">
      <formula>$H$115=0</formula>
    </cfRule>
  </conditionalFormatting>
  <conditionalFormatting sqref="W45:AF45">
    <cfRule type="expression" dxfId="86" priority="357">
      <formula>$AZ$108=1</formula>
    </cfRule>
  </conditionalFormatting>
  <conditionalFormatting sqref="W50:AF50">
    <cfRule type="expression" dxfId="85" priority="358">
      <formula>$BB$104=1</formula>
    </cfRule>
  </conditionalFormatting>
  <conditionalFormatting sqref="W55:AF55">
    <cfRule type="expression" dxfId="84" priority="359">
      <formula>$BB$111=1</formula>
    </cfRule>
  </conditionalFormatting>
  <conditionalFormatting sqref="X43:AE43 AO43:AR43">
    <cfRule type="expression" dxfId="83" priority="360">
      <formula>$BD$103=1</formula>
    </cfRule>
  </conditionalFormatting>
  <conditionalFormatting sqref="X48:AE48 AO48:AR48">
    <cfRule type="expression" dxfId="82" priority="362">
      <formula>$BD$106=1</formula>
    </cfRule>
  </conditionalFormatting>
  <conditionalFormatting sqref="X53:AE53 AO53:AR53">
    <cfRule type="expression" dxfId="81" priority="364">
      <formula>$BD$109=1</formula>
    </cfRule>
  </conditionalFormatting>
  <conditionalFormatting sqref="AC127:AC128 AC130:AC131 AC133:AC134">
    <cfRule type="expression" dxfId="80" priority="178">
      <formula>IF($BM$110=1,IF(#REF!="ZZ",TRUE,FALSE),FALSE)</formula>
    </cfRule>
  </conditionalFormatting>
  <conditionalFormatting sqref="AC129 AC132 AC135">
    <cfRule type="expression" dxfId="79" priority="181">
      <formula>IF($BM$110=1,IF(#REF!="ZZ",1,0),0)</formula>
    </cfRule>
  </conditionalFormatting>
  <conditionalFormatting sqref="AF34:AF45 AR34:AR45">
    <cfRule type="expression" dxfId="78" priority="366">
      <formula>$AZ$105=1</formula>
    </cfRule>
  </conditionalFormatting>
  <conditionalFormatting sqref="AF46:AF50">
    <cfRule type="expression" dxfId="77" priority="368">
      <formula>$AZ$112=1</formula>
    </cfRule>
  </conditionalFormatting>
  <conditionalFormatting sqref="AF51:AF55 AR51:AR55">
    <cfRule type="expression" dxfId="76" priority="369">
      <formula>$BB$108=1</formula>
    </cfRule>
  </conditionalFormatting>
  <conditionalFormatting sqref="AF43:AH43 AS43:AU43">
    <cfRule type="expression" dxfId="75" priority="371">
      <formula>$BD$104=1</formula>
    </cfRule>
  </conditionalFormatting>
  <conditionalFormatting sqref="AF48:AH48 AS48:AU48">
    <cfRule type="expression" dxfId="74" priority="373">
      <formula>$BD$107=1</formula>
    </cfRule>
  </conditionalFormatting>
  <conditionalFormatting sqref="AF53:AH53 AS53:AU53">
    <cfRule type="expression" dxfId="73" priority="375">
      <formula>$BD$110=1</formula>
    </cfRule>
  </conditionalFormatting>
  <conditionalFormatting sqref="AG33:AI33">
    <cfRule type="expression" dxfId="72" priority="377">
      <formula>$AZ$103=1</formula>
    </cfRule>
  </conditionalFormatting>
  <conditionalFormatting sqref="AG45:AI45">
    <cfRule type="expression" dxfId="71" priority="378">
      <formula>$AZ$109=1</formula>
    </cfRule>
  </conditionalFormatting>
  <conditionalFormatting sqref="AG50:AI50">
    <cfRule type="expression" dxfId="70" priority="379">
      <formula>$BB$105=1</formula>
    </cfRule>
  </conditionalFormatting>
  <conditionalFormatting sqref="AG55:AI55">
    <cfRule type="expression" dxfId="69" priority="380">
      <formula>$BB$112=1</formula>
    </cfRule>
  </conditionalFormatting>
  <conditionalFormatting sqref="AI34:AI45">
    <cfRule type="expression" dxfId="68" priority="381">
      <formula>$AZ$106=1</formula>
    </cfRule>
  </conditionalFormatting>
  <conditionalFormatting sqref="AI46:AI50 AU46:AU50">
    <cfRule type="expression" dxfId="67" priority="382">
      <formula>$AZ$113=1</formula>
    </cfRule>
  </conditionalFormatting>
  <conditionalFormatting sqref="AI51:AI55">
    <cfRule type="expression" dxfId="66" priority="384">
      <formula>$BB$109=1</formula>
    </cfRule>
  </conditionalFormatting>
  <conditionalFormatting sqref="AI43:AK43 AV43:AX43">
    <cfRule type="expression" dxfId="65" priority="385">
      <formula>$BD$105=1</formula>
    </cfRule>
  </conditionalFormatting>
  <conditionalFormatting sqref="AI48:AK48 AV48:AX48">
    <cfRule type="expression" dxfId="64" priority="387">
      <formula>$BD$108=1</formula>
    </cfRule>
  </conditionalFormatting>
  <conditionalFormatting sqref="AI53:AK53 AV53:AX53">
    <cfRule type="expression" dxfId="63" priority="389">
      <formula>$BD$111=1</formula>
    </cfRule>
  </conditionalFormatting>
  <conditionalFormatting sqref="AJ33:AL33">
    <cfRule type="expression" dxfId="62" priority="257">
      <formula>$AZ$104=1</formula>
    </cfRule>
  </conditionalFormatting>
  <conditionalFormatting sqref="AJ45:AL45">
    <cfRule type="expression" dxfId="61" priority="392">
      <formula>$AZ$110=1</formula>
    </cfRule>
  </conditionalFormatting>
  <conditionalFormatting sqref="AJ50:AL50">
    <cfRule type="expression" dxfId="60" priority="393">
      <formula>$BB$106=1</formula>
    </cfRule>
  </conditionalFormatting>
  <conditionalFormatting sqref="AJ55:AL55">
    <cfRule type="expression" dxfId="59" priority="394">
      <formula>$BB$113=1</formula>
    </cfRule>
  </conditionalFormatting>
  <conditionalFormatting sqref="AL34:AL45">
    <cfRule type="expression" dxfId="58" priority="395">
      <formula>$AZ$107=1</formula>
    </cfRule>
  </conditionalFormatting>
  <conditionalFormatting sqref="AL46:AL50 AX46:AX50">
    <cfRule type="expression" dxfId="57" priority="397">
      <formula>$BB$103=1</formula>
    </cfRule>
  </conditionalFormatting>
  <conditionalFormatting sqref="AL51:AL55 AX51:AX55">
    <cfRule type="expression" dxfId="56" priority="399">
      <formula>$BB$110=1</formula>
    </cfRule>
  </conditionalFormatting>
  <conditionalFormatting sqref="AO34:AO45">
    <cfRule type="expression" dxfId="55" priority="75">
      <formula>$H$115=0</formula>
    </cfRule>
  </conditionalFormatting>
  <conditionalFormatting sqref="AO34:AR34 AO35:AQ35">
    <cfRule type="expression" dxfId="54" priority="401">
      <formula>$AU$104=0</formula>
    </cfRule>
    <cfRule type="expression" dxfId="53" priority="402">
      <formula>$AU$104=1</formula>
    </cfRule>
  </conditionalFormatting>
  <conditionalFormatting sqref="AO34:AR34">
    <cfRule type="expression" dxfId="52" priority="76">
      <formula>$H$115=0</formula>
    </cfRule>
  </conditionalFormatting>
  <conditionalFormatting sqref="AO35:AR35">
    <cfRule type="expression" dxfId="51" priority="403">
      <formula>$AU$104</formula>
    </cfRule>
  </conditionalFormatting>
  <conditionalFormatting sqref="AO39:AR40">
    <cfRule type="expression" dxfId="50" priority="405">
      <formula>$AU$104=1</formula>
    </cfRule>
    <cfRule type="expression" dxfId="49" priority="404">
      <formula>$AU$104=0</formula>
    </cfRule>
  </conditionalFormatting>
  <conditionalFormatting sqref="AO44:AR45">
    <cfRule type="expression" dxfId="48" priority="409">
      <formula>$AZ$108=1</formula>
    </cfRule>
    <cfRule type="expression" dxfId="47" priority="406">
      <formula>IF(AND($AU$104=1,$AU$105=1),TRUE,FALSE)</formula>
    </cfRule>
    <cfRule type="expression" dxfId="46" priority="407">
      <formula>IF(AND($AU$104=1,$AU$105=0),TRUE,FALSE)</formula>
    </cfRule>
    <cfRule type="expression" dxfId="45" priority="408">
      <formula>$AU$105=0</formula>
    </cfRule>
  </conditionalFormatting>
  <conditionalFormatting sqref="AO49:AR50">
    <cfRule type="expression" dxfId="44" priority="410">
      <formula>IF(AND($AU$105=1,$AU$106=0),TRUE,FALSE)</formula>
    </cfRule>
    <cfRule type="expression" dxfId="43" priority="411">
      <formula>IF(AND($AU$105=1,$AU$106=1),TRUE,FALSE)</formula>
    </cfRule>
    <cfRule type="expression" dxfId="42" priority="412">
      <formula>$AU$105=0</formula>
    </cfRule>
    <cfRule type="expression" dxfId="41" priority="413">
      <formula>$BB$104=1</formula>
    </cfRule>
  </conditionalFormatting>
  <conditionalFormatting sqref="AO54:AR55">
    <cfRule type="expression" dxfId="40" priority="414">
      <formula>$AU$106=0</formula>
    </cfRule>
    <cfRule type="expression" dxfId="39" priority="415">
      <formula>$AU$106=1</formula>
    </cfRule>
    <cfRule type="expression" dxfId="38" priority="416">
      <formula>$BB$111=1</formula>
    </cfRule>
  </conditionalFormatting>
  <conditionalFormatting sqref="AR46:AR50">
    <cfRule type="expression" dxfId="37" priority="417">
      <formula>$AZ$112</formula>
    </cfRule>
  </conditionalFormatting>
  <conditionalFormatting sqref="AS34:AU34 AS35:AT35">
    <cfRule type="expression" dxfId="36" priority="419">
      <formula>$AV$104=1</formula>
    </cfRule>
    <cfRule type="expression" dxfId="35" priority="420">
      <formula>$AV$104=0</formula>
    </cfRule>
  </conditionalFormatting>
  <conditionalFormatting sqref="AS34:AU34">
    <cfRule type="expression" dxfId="34" priority="418">
      <formula>$AZ$103=1</formula>
    </cfRule>
  </conditionalFormatting>
  <conditionalFormatting sqref="AS34:AU35">
    <cfRule type="expression" dxfId="33" priority="421">
      <formula>$AV$104=1</formula>
    </cfRule>
  </conditionalFormatting>
  <conditionalFormatting sqref="AS39:AU40">
    <cfRule type="expression" dxfId="32" priority="422">
      <formula>$AV$104=0</formula>
    </cfRule>
    <cfRule type="expression" dxfId="31" priority="423">
      <formula>$AV$104=1</formula>
    </cfRule>
  </conditionalFormatting>
  <conditionalFormatting sqref="AS44:AU45">
    <cfRule type="expression" dxfId="30" priority="427">
      <formula>$AZ$109=1</formula>
    </cfRule>
    <cfRule type="expression" dxfId="29" priority="424">
      <formula>IF(AND($AV$104=1,$AV$105=1),TRUE,FALSE)</formula>
    </cfRule>
    <cfRule type="expression" dxfId="28" priority="425">
      <formula>IF(AND($AV$104=1,$AV$105=0),TRUE,FALSE)</formula>
    </cfRule>
    <cfRule type="expression" dxfId="27" priority="426">
      <formula>$AV$104=0</formula>
    </cfRule>
  </conditionalFormatting>
  <conditionalFormatting sqref="AS49:AU50">
    <cfRule type="expression" dxfId="26" priority="431">
      <formula>$BB$105=1</formula>
    </cfRule>
    <cfRule type="expression" dxfId="25" priority="428">
      <formula>IF(AND($AV$105=1,$AV$106=0),TRUE,FALSE)</formula>
    </cfRule>
    <cfRule type="expression" dxfId="24" priority="429">
      <formula>IF(AND($AV$105=1,$AV$106=1),TRUE,FALSE)</formula>
    </cfRule>
    <cfRule type="expression" dxfId="23" priority="430">
      <formula>$AV$105=0</formula>
    </cfRule>
  </conditionalFormatting>
  <conditionalFormatting sqref="AS54:AU55">
    <cfRule type="expression" dxfId="22" priority="432">
      <formula>$AV$106=1</formula>
    </cfRule>
    <cfRule type="expression" dxfId="21" priority="433">
      <formula>$AV$106=0</formula>
    </cfRule>
    <cfRule type="expression" dxfId="20" priority="434">
      <formula>$BB$112=1</formula>
    </cfRule>
  </conditionalFormatting>
  <conditionalFormatting sqref="AU34:AU45">
    <cfRule type="expression" dxfId="19" priority="435">
      <formula>$AZ$106=1</formula>
    </cfRule>
  </conditionalFormatting>
  <conditionalFormatting sqref="AU51:AU55">
    <cfRule type="expression" dxfId="18" priority="436">
      <formula>$BB$109</formula>
    </cfRule>
  </conditionalFormatting>
  <conditionalFormatting sqref="AV34:AX34 AV35:AW35">
    <cfRule type="expression" dxfId="17" priority="438">
      <formula>$AW$104=1</formula>
    </cfRule>
    <cfRule type="expression" dxfId="16" priority="439">
      <formula>$AW$104=0</formula>
    </cfRule>
  </conditionalFormatting>
  <conditionalFormatting sqref="AV34:AX34">
    <cfRule type="expression" dxfId="15" priority="437">
      <formula>$AZ$104=1</formula>
    </cfRule>
  </conditionalFormatting>
  <conditionalFormatting sqref="AV34:AX35">
    <cfRule type="expression" dxfId="14" priority="440">
      <formula>$AW$104=1</formula>
    </cfRule>
  </conditionalFormatting>
  <conditionalFormatting sqref="AV39:AX40">
    <cfRule type="expression" dxfId="13" priority="441">
      <formula>$AW$104=1</formula>
    </cfRule>
    <cfRule type="expression" dxfId="12" priority="442">
      <formula>$AW$104=0</formula>
    </cfRule>
  </conditionalFormatting>
  <conditionalFormatting sqref="AV44:AX45">
    <cfRule type="expression" dxfId="11" priority="443">
      <formula>$AW$104=0</formula>
    </cfRule>
    <cfRule type="expression" dxfId="10" priority="444">
      <formula>IF(AND($AW$104=1,$AW$105=0),TRUE,FALSE)</formula>
    </cfRule>
    <cfRule type="expression" dxfId="9" priority="445">
      <formula>IF(AND($AW$104=1,$AW$105=1),TRUE,FALSE)</formula>
    </cfRule>
    <cfRule type="expression" dxfId="8" priority="446">
      <formula>$AZ$110=1</formula>
    </cfRule>
  </conditionalFormatting>
  <conditionalFormatting sqref="AV49:AX50">
    <cfRule type="expression" dxfId="7" priority="447">
      <formula>IF(AND($AW$105=1,$AW$106=1),TRUE,FALSE)</formula>
    </cfRule>
    <cfRule type="expression" dxfId="6" priority="448">
      <formula>IF(AND($AW$105=1,$AW$106=0),TRUE,FALSE)</formula>
    </cfRule>
    <cfRule type="expression" dxfId="5" priority="449">
      <formula>$AW$105=0</formula>
    </cfRule>
    <cfRule type="expression" dxfId="4" priority="450">
      <formula>$BB$106=1</formula>
    </cfRule>
  </conditionalFormatting>
  <conditionalFormatting sqref="AV54:AX55">
    <cfRule type="expression" dxfId="3" priority="451">
      <formula>$AW$106=0</formula>
    </cfRule>
    <cfRule type="expression" dxfId="2" priority="452">
      <formula>$AW$106=1</formula>
    </cfRule>
    <cfRule type="expression" dxfId="1" priority="453">
      <formula>$BB$113</formula>
    </cfRule>
  </conditionalFormatting>
  <conditionalFormatting sqref="AX34:AX45">
    <cfRule type="expression" dxfId="0" priority="1">
      <formula>$AZ$107=1</formula>
    </cfRule>
  </conditionalFormatting>
  <dataValidations count="13">
    <dataValidation type="list" allowBlank="1" showInputMessage="1" showErrorMessage="1" sqref="A2:D2" xr:uid="{B9F6EEC8-CDEC-4D31-84B5-AA95A84E1624}">
      <formula1>$BP$79:$BQ$79</formula1>
    </dataValidation>
    <dataValidation type="list" allowBlank="1" showInputMessage="1" showErrorMessage="1" sqref="F53:J54" xr:uid="{3A7954A6-E8F3-4137-927E-08D4F2EFDBEA}">
      <formula1>RadiusRail3</formula1>
    </dataValidation>
    <dataValidation type="list" allowBlank="1" showInputMessage="1" showErrorMessage="1" sqref="F31:J32" xr:uid="{B3BAA350-3D47-4368-9121-2588CCE13322}">
      <formula1>RadiusRail1</formula1>
    </dataValidation>
    <dataValidation type="list" allowBlank="1" showInputMessage="1" showErrorMessage="1" sqref="F42:J43" xr:uid="{42E14B3F-7052-4168-95E2-1460C593726E}">
      <formula1>RadiusRail2</formula1>
    </dataValidation>
    <dataValidation type="list" allowBlank="1" showInputMessage="1" showErrorMessage="1" sqref="F27:J28" xr:uid="{0B567C67-4840-4415-9E08-490EBF7BB094}">
      <formula1>IF($J$145=1,IF($J$116=1,$AQ$126:$AQ$139,$AQ$126:$AQ$134),$A$3)</formula1>
    </dataValidation>
    <dataValidation type="list" allowBlank="1" showInputMessage="1" showErrorMessage="1" sqref="F38:J39" xr:uid="{6015BD18-9374-439D-B6DB-7B5A4A5B4D0C}">
      <formula1>IF($J$159=1,IF($J$116=1,$AQ$126:$AQ$139,$AQ$126:$AQ$134),$A$3)</formula1>
    </dataValidation>
    <dataValidation type="list" allowBlank="1" showInputMessage="1" showErrorMessage="1" sqref="F12:J13" xr:uid="{46877CE0-BD53-4164-AE4D-FB254B33BAA9}">
      <formula1>IF($A$2="",$A$3,$BO$133:$BO$135)</formula1>
    </dataValidation>
    <dataValidation type="list" allowBlank="1" showInputMessage="1" showErrorMessage="1" sqref="F14:J15" xr:uid="{B6FA9456-9BBB-4508-9042-E75CADD49332}">
      <formula1>IF($A$2="",$A$3,$BO$136:$BO$138)</formula1>
    </dataValidation>
    <dataValidation type="list" allowBlank="1" showInputMessage="1" showErrorMessage="1" sqref="F29:J30" xr:uid="{8F0D95A4-2942-4D71-B5F9-C213B1B15AFD}">
      <formula1>IF($J$145=0,$A$3,IF($K$73=0,$BO$140,$BO$139:$BO$140))</formula1>
    </dataValidation>
    <dataValidation type="list" allowBlank="1" showInputMessage="1" showErrorMessage="1" sqref="F16:J17" xr:uid="{AF53D413-4EC3-49ED-978A-F1C9292D737C}">
      <formula1>IF($A$2="",$A$3,IF($F$14=$BO$136,$A$3,IF($F$14=$BO$137,$BO$141:$BO$144,$BO$145:$BO$148)))</formula1>
    </dataValidation>
    <dataValidation type="list" allowBlank="1" showInputMessage="1" showErrorMessage="1" sqref="F40:J41" xr:uid="{2F3F2676-9AE7-4AAB-B6FB-3F8408AE3AA0}">
      <formula1>IF($J$159=0,$A$3,IF($K$74=0,$BO$140,$BO$139:$BO$140))</formula1>
    </dataValidation>
    <dataValidation type="list" allowBlank="1" showInputMessage="1" showErrorMessage="1" sqref="F49:J50" xr:uid="{C0C5A42A-BBAD-43F1-8FEF-F1B5E67B8462}">
      <formula1>IF($J$173=1,IF($J$116=1,$AQ$126:$AQ$139,$AQ$126:$AQ$134),$A$3)</formula1>
    </dataValidation>
    <dataValidation type="list" allowBlank="1" showInputMessage="1" showErrorMessage="1" sqref="F51:J52" xr:uid="{6CD15727-8AEF-42FC-B3A3-D54154EED577}">
      <formula1>IF($J$173=0,$A$3,IF($K$75=0,$BO$140,$BO$139:$BO$140))</formula1>
    </dataValidation>
  </dataValidations>
  <pageMargins left="0.7" right="0.7" top="0.75" bottom="0.75" header="0.3" footer="0.3"/>
  <pageSetup paperSize="9" scale="4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Forest Pelmet</vt:lpstr>
      <vt:lpstr>'Forest Pelmet'!Afdrukbereik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Mulderij – Forestgroup</dc:creator>
  <cp:lastModifiedBy>Wouter Mulderij – Forestgroup</cp:lastModifiedBy>
  <cp:lastPrinted>2026-08-07T11:48:53Z</cp:lastPrinted>
  <dcterms:created xsi:type="dcterms:W3CDTF">2026-03-26T07:08:35Z</dcterms:created>
  <dcterms:modified xsi:type="dcterms:W3CDTF">2026-08-10T08:12:06Z</dcterms:modified>
</cp:coreProperties>
</file>