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Documentatie\FES rekenschema\"/>
    </mc:Choice>
  </mc:AlternateContent>
  <xr:revisionPtr revIDLastSave="0" documentId="13_ncr:1_{7D5686FD-4D0A-48EF-B484-D6958F9B714D}" xr6:coauthVersionLast="47" xr6:coauthVersionMax="47" xr10:uidLastSave="{00000000-0000-0000-0000-000000000000}"/>
  <bookViews>
    <workbookView xWindow="-120" yWindow="-120" windowWidth="29040" windowHeight="15720" xr2:uid="{ABCD4981-C01B-4B1F-9495-BB9C21AF22DD}"/>
  </bookViews>
  <sheets>
    <sheet name="Forest FES-rekenschema" sheetId="1" r:id="rId1"/>
  </sheets>
  <definedNames>
    <definedName name="AFBEELDING">OFFSET('Forest FES-rekenschema'!#REF!,IF('Forest FES-rekenschema'!$H$977=1,1,'Forest FES-rekenschema'!$G$924),IF('Forest FES-rekenschema'!$H$977=1,4,IF('Forest FES-rekenschema'!$D$18='Forest FES-rekenschema'!$B$969,6,0)+IF('Forest FES-rekenschema'!$D$16='Forest FES-rekenschema'!$B$961,2,0)),1,1)</definedName>
    <definedName name="_xlnm.Print_Area" localSheetId="0">'Forest FES-rekenschema'!$A$1:$N$27</definedName>
    <definedName name="Foto_band">IF('Forest FES-rekenschema'!$H$977+'Forest FES-rekenschema'!$I$977&gt;=1,'Forest FES-rekenschema'!#REF!,IF('Forest FES-rekenschema'!$D$12='Forest FES-rekenschema'!$B$965,'Forest FES-rekenschema'!#REF!,'Forest FES-rekenschema'!#REF!))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B956" i="1" l="1"/>
  <c r="Z956" i="1"/>
  <c r="H927" i="1"/>
  <c r="H980" i="1"/>
  <c r="J992" i="1"/>
  <c r="H985" i="1"/>
  <c r="H942" i="1" l="1"/>
  <c r="H996" i="1"/>
  <c r="J995" i="1"/>
  <c r="J994" i="1"/>
  <c r="H935" i="1"/>
  <c r="H936" i="1"/>
  <c r="H937" i="1"/>
  <c r="H938" i="1"/>
  <c r="H939" i="1"/>
  <c r="H940" i="1"/>
  <c r="H941" i="1"/>
  <c r="H944" i="1"/>
  <c r="DN938" i="1"/>
  <c r="O959" i="1"/>
  <c r="H989" i="1" l="1"/>
  <c r="J991" i="1" l="1"/>
  <c r="J990" i="1"/>
  <c r="I986" i="1"/>
  <c r="I977" i="1" s="1"/>
  <c r="Q960" i="1"/>
  <c r="H987" i="1"/>
  <c r="H988" i="1"/>
  <c r="H983" i="1"/>
  <c r="G16" i="1" s="1"/>
  <c r="H979" i="1"/>
  <c r="H978" i="1"/>
  <c r="G8" i="1" s="1"/>
  <c r="H926" i="1"/>
  <c r="G927" i="1"/>
  <c r="G928" i="1" s="1"/>
  <c r="G929" i="1" s="1"/>
  <c r="G930" i="1" s="1"/>
  <c r="G931" i="1" s="1"/>
  <c r="G932" i="1" s="1"/>
  <c r="G933" i="1" s="1"/>
  <c r="G934" i="1" s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59" i="1"/>
  <c r="Q961" i="1"/>
  <c r="G10" i="1" l="1"/>
  <c r="G935" i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H945" i="1" s="1"/>
  <c r="H934" i="1"/>
  <c r="R975" i="1"/>
  <c r="H943" i="1"/>
  <c r="H982" i="1"/>
  <c r="G14" i="1" s="1"/>
  <c r="O963" i="1"/>
  <c r="Q965" i="1"/>
  <c r="P972" i="1"/>
  <c r="P966" i="1"/>
  <c r="P960" i="1"/>
  <c r="Q971" i="1"/>
  <c r="O974" i="1"/>
  <c r="O962" i="1"/>
  <c r="P971" i="1"/>
  <c r="P965" i="1"/>
  <c r="Q970" i="1"/>
  <c r="O964" i="1"/>
  <c r="P970" i="1"/>
  <c r="O971" i="1"/>
  <c r="P959" i="1"/>
  <c r="Q969" i="1"/>
  <c r="Q963" i="1"/>
  <c r="O970" i="1"/>
  <c r="Q959" i="1"/>
  <c r="P969" i="1"/>
  <c r="P963" i="1"/>
  <c r="O973" i="1"/>
  <c r="Q964" i="1"/>
  <c r="P964" i="1"/>
  <c r="O969" i="1"/>
  <c r="Q968" i="1"/>
  <c r="Q962" i="1"/>
  <c r="O960" i="1"/>
  <c r="O968" i="1"/>
  <c r="P968" i="1"/>
  <c r="P962" i="1"/>
  <c r="O961" i="1"/>
  <c r="O972" i="1"/>
  <c r="Q974" i="1"/>
  <c r="P974" i="1"/>
  <c r="O967" i="1"/>
  <c r="Q973" i="1"/>
  <c r="Q967" i="1"/>
  <c r="O966" i="1"/>
  <c r="P973" i="1"/>
  <c r="P967" i="1"/>
  <c r="P961" i="1"/>
  <c r="O965" i="1"/>
  <c r="Q972" i="1"/>
  <c r="Q966" i="1"/>
  <c r="O975" i="1" l="1"/>
  <c r="BU928" i="1"/>
  <c r="B952" i="1"/>
  <c r="B951" i="1" l="1"/>
  <c r="B950" i="1"/>
  <c r="H928" i="1"/>
  <c r="H929" i="1"/>
  <c r="H930" i="1"/>
  <c r="H931" i="1"/>
  <c r="H932" i="1"/>
  <c r="H933" i="1"/>
  <c r="G924" i="1" l="1"/>
  <c r="B949" i="1"/>
  <c r="BU917" i="1" s="1"/>
  <c r="H981" i="1"/>
  <c r="G12" i="1" s="1"/>
  <c r="J924" i="1" l="1" a="1"/>
  <c r="A18" i="1" l="1"/>
  <c r="A19" i="1"/>
  <c r="BU929" i="1"/>
  <c r="Z957" i="1" s="1"/>
  <c r="Z958" i="1" s="1"/>
  <c r="BU945" i="1"/>
  <c r="BU921" i="1"/>
  <c r="BU920" i="1"/>
  <c r="H948" i="1"/>
  <c r="BU944" i="1" s="1"/>
  <c r="H997" i="1"/>
  <c r="H998" i="1"/>
  <c r="BU922" i="1"/>
  <c r="BU927" i="1"/>
  <c r="BU919" i="1"/>
  <c r="BU923" i="1"/>
  <c r="BU946" i="1"/>
  <c r="BU924" i="1"/>
  <c r="DP938" i="1"/>
  <c r="J924" i="1"/>
  <c r="BU918" i="1"/>
  <c r="H984" i="1"/>
  <c r="G18" i="1" s="1"/>
  <c r="G20" i="1" l="1"/>
  <c r="AB957" i="1"/>
  <c r="AB958" i="1" s="1"/>
  <c r="AD963" i="1"/>
  <c r="DR938" i="1"/>
  <c r="H977" i="1"/>
  <c r="BU931" i="1"/>
  <c r="J993" i="1"/>
  <c r="J977" i="1" s="1"/>
  <c r="BU930" i="1"/>
  <c r="DT938" i="1" s="1"/>
  <c r="L10" i="1" l="1"/>
  <c r="L14" i="1" s="1"/>
  <c r="AB959" i="1"/>
  <c r="AB960" i="1" s="1"/>
  <c r="AB961" i="1" s="1"/>
  <c r="Z959" i="1"/>
  <c r="Z960" i="1" s="1"/>
  <c r="Z961" i="1" s="1"/>
  <c r="Z962" i="1" s="1"/>
  <c r="Z963" i="1" s="1"/>
  <c r="DK938" i="1"/>
  <c r="DK939" i="1" s="1"/>
  <c r="L18" i="1" l="1"/>
  <c r="AB962" i="1"/>
  <c r="AB963" i="1" s="1"/>
  <c r="BU948" i="1" l="1"/>
  <c r="BU932" i="1" l="1"/>
  <c r="BU936" i="1" s="1"/>
  <c r="BU947" i="1" s="1"/>
  <c r="DK940" i="1"/>
  <c r="DK941" i="1" s="1"/>
  <c r="DK942" i="1" s="1"/>
  <c r="DK943" i="1" s="1"/>
  <c r="DK944" i="1" s="1"/>
  <c r="BU934" i="1"/>
  <c r="BU937" i="1" s="1"/>
  <c r="BU939" i="1" s="1"/>
  <c r="G976" i="1"/>
  <c r="BU941" i="1" l="1"/>
  <c r="BU943" i="1" s="1"/>
  <c r="BU938" i="1"/>
  <c r="BU940" i="1" l="1"/>
  <c r="M9" i="1"/>
  <c r="L9" i="1" s="1"/>
  <c r="M17" i="1" l="1"/>
  <c r="M18" i="1"/>
  <c r="N18" i="1" s="1"/>
  <c r="H10" i="1"/>
  <c r="M10" i="1"/>
  <c r="H13" i="1"/>
  <c r="H9" i="1"/>
  <c r="BU942" i="1"/>
  <c r="H17" i="1"/>
  <c r="H14" i="1"/>
  <c r="H19" i="1"/>
  <c r="H18" i="1"/>
  <c r="N17" i="1"/>
  <c r="M13" i="1"/>
  <c r="M14" i="1"/>
  <c r="L13" i="1" l="1"/>
  <c r="L1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<sst xmlns="http://schemas.openxmlformats.org/spreadsheetml/2006/main" count="297" uniqueCount="234">
  <si>
    <t>Easywave</t>
  </si>
  <si>
    <t>R</t>
  </si>
  <si>
    <t>L</t>
  </si>
  <si>
    <t>MRS</t>
  </si>
  <si>
    <t>Easyflex</t>
  </si>
  <si>
    <t>5,4 cm (100%)</t>
  </si>
  <si>
    <t>6 cm (80%)</t>
  </si>
  <si>
    <t>8 cm (60%)</t>
  </si>
  <si>
    <t>One-way draw</t>
  </si>
  <si>
    <t>Center closing</t>
  </si>
  <si>
    <t>CCS</t>
  </si>
  <si>
    <t>-</t>
  </si>
  <si>
    <t>lengte voorloper</t>
  </si>
  <si>
    <t>M</t>
  </si>
  <si>
    <t>voorloper</t>
  </si>
  <si>
    <t>- No rights can be derived from this calculation tool.</t>
  </si>
  <si>
    <t>Lengte te kort</t>
  </si>
  <si>
    <t>gesloten</t>
  </si>
  <si>
    <t>open</t>
  </si>
  <si>
    <t>Carrier distance:</t>
  </si>
  <si>
    <t>Motor side</t>
  </si>
  <si>
    <t>Return side</t>
  </si>
  <si>
    <t>Left side</t>
  </si>
  <si>
    <t>Right side</t>
  </si>
  <si>
    <t>Motor / handbediend / koord</t>
  </si>
  <si>
    <t>Control side</t>
  </si>
  <si>
    <t>Ja</t>
  </si>
  <si>
    <t>Nee</t>
  </si>
  <si>
    <t>breedte glijder</t>
  </si>
  <si>
    <t>lengte wavekoord</t>
  </si>
  <si>
    <t>- Product tolerances are calculated in the final results.</t>
  </si>
  <si>
    <t>FMS Dual</t>
  </si>
  <si>
    <t>V</t>
  </si>
  <si>
    <t>KS</t>
  </si>
  <si>
    <t>DS</t>
  </si>
  <si>
    <t>Enkel</t>
  </si>
  <si>
    <t>Dubbel</t>
  </si>
  <si>
    <t>start koord</t>
  </si>
  <si>
    <t>extra haken motor</t>
  </si>
  <si>
    <t>extra haken retour</t>
  </si>
  <si>
    <t>Extra haken retour</t>
  </si>
  <si>
    <t>B1</t>
  </si>
  <si>
    <t>B2</t>
  </si>
  <si>
    <t>C1</t>
  </si>
  <si>
    <t>C2</t>
  </si>
  <si>
    <t>C3</t>
  </si>
  <si>
    <t>C4</t>
  </si>
  <si>
    <t>D1</t>
  </si>
  <si>
    <t>D2</t>
  </si>
  <si>
    <t>E1</t>
  </si>
  <si>
    <t>E2</t>
  </si>
  <si>
    <t>E3</t>
  </si>
  <si>
    <t>E4</t>
  </si>
  <si>
    <t>F1</t>
  </si>
  <si>
    <t>F2</t>
  </si>
  <si>
    <t>G1</t>
  </si>
  <si>
    <t>G2</t>
  </si>
  <si>
    <t>K1</t>
  </si>
  <si>
    <t>L1</t>
  </si>
  <si>
    <t>L2</t>
  </si>
  <si>
    <t>W1</t>
  </si>
  <si>
    <t>W2</t>
  </si>
  <si>
    <t>X1</t>
  </si>
  <si>
    <t>X2</t>
  </si>
  <si>
    <t>AA</t>
  </si>
  <si>
    <t>FMS (Shuttle)</t>
  </si>
  <si>
    <t>FMS Plus</t>
  </si>
  <si>
    <t>CS</t>
  </si>
  <si>
    <t>DS-XL</t>
  </si>
  <si>
    <t>DS-XL LED</t>
  </si>
  <si>
    <t>J</t>
  </si>
  <si>
    <t>formule outputs</t>
  </si>
  <si>
    <t>A</t>
  </si>
  <si>
    <t>wavelengte</t>
  </si>
  <si>
    <t>B</t>
  </si>
  <si>
    <t>zaagmaat retourpoelie enkel</t>
  </si>
  <si>
    <t>C</t>
  </si>
  <si>
    <t>D</t>
  </si>
  <si>
    <t>E</t>
  </si>
  <si>
    <t>F</t>
  </si>
  <si>
    <t>even/oneven motor</t>
  </si>
  <si>
    <t>G</t>
  </si>
  <si>
    <t>even/oneven retour</t>
  </si>
  <si>
    <t>H</t>
  </si>
  <si>
    <t>I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</si>
  <si>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C1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</t>
    </r>
  </si>
  <si>
    <t>Overlap</t>
  </si>
  <si>
    <r>
      <rPr>
        <sz val="11"/>
        <color theme="5" tint="-0.249977111117893"/>
        <rFont val="Calibri"/>
        <family val="2"/>
        <scheme val="minor"/>
      </rPr>
      <t xml:space="preserve">#6 Overlap </t>
    </r>
    <r>
      <rPr>
        <sz val="11"/>
        <color theme="1"/>
        <rFont val="Calibri"/>
        <family val="2"/>
        <scheme val="minor"/>
      </rPr>
      <t xml:space="preserve"> /  2</t>
    </r>
  </si>
  <si>
    <t>zaagmaat retourpoelie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</si>
  <si>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L1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>L2</t>
    </r>
    <r>
      <rPr>
        <sz val="11"/>
        <color theme="1"/>
        <rFont val="Calibri"/>
        <family val="2"/>
        <scheme val="minor"/>
      </rPr>
      <t xml:space="preserve"> )</t>
    </r>
  </si>
  <si>
    <t>BB</t>
  </si>
  <si>
    <t>CC</t>
  </si>
  <si>
    <t>N</t>
  </si>
  <si>
    <t>Formule glijder motor</t>
  </si>
  <si>
    <r>
      <t>iif(</t>
    </r>
    <r>
      <rPr>
        <b/>
        <sz val="11"/>
        <color theme="5" tint="-0.249977111117893"/>
        <rFont val="Calibri"/>
        <family val="2"/>
        <scheme val="minor"/>
      </rPr>
      <t xml:space="preserve">F </t>
    </r>
    <r>
      <rPr>
        <sz val="11"/>
        <color theme="5" tint="-0.249977111117893"/>
        <rFont val="Calibri"/>
        <family val="2"/>
        <scheme val="minor"/>
      </rPr>
      <t>Even/onevenmotor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</si>
  <si>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t>O</t>
  </si>
  <si>
    <t>Formule glijder retour</t>
  </si>
  <si>
    <t>P</t>
  </si>
  <si>
    <t>totaal wave haken motor</t>
  </si>
  <si>
    <r>
      <rPr>
        <b/>
        <sz val="11"/>
        <color theme="5" tint="-0.249977111117893"/>
        <rFont val="Calibri"/>
        <family val="2"/>
        <scheme val="minor"/>
      </rPr>
      <t>N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D</t>
    </r>
    <r>
      <rPr>
        <sz val="11"/>
        <color theme="5" tint="-0.249977111117893"/>
        <rFont val="Calibri"/>
        <family val="2"/>
        <scheme val="minor"/>
      </rPr>
      <t xml:space="preserve"> Extra haken motor</t>
    </r>
  </si>
  <si>
    <t>Q</t>
  </si>
  <si>
    <t>totaal wave haken retour</t>
  </si>
  <si>
    <r>
      <rPr>
        <b/>
        <sz val="11"/>
        <color theme="5" tint="-0.249977111117893"/>
        <rFont val="Calibri"/>
        <family val="2"/>
        <scheme val="minor"/>
      </rPr>
      <t>O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E</t>
    </r>
    <r>
      <rPr>
        <sz val="11"/>
        <color theme="5" tint="-0.249977111117893"/>
        <rFont val="Calibri"/>
        <family val="2"/>
        <scheme val="minor"/>
      </rPr>
      <t xml:space="preserve"> Extra haken retour</t>
    </r>
  </si>
  <si>
    <t>total tape length motor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</si>
  <si>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P</t>
    </r>
    <r>
      <rPr>
        <sz val="11"/>
        <color theme="5" tint="-0.249977111117893"/>
        <rFont val="Calibri"/>
        <family val="2"/>
        <scheme val="minor"/>
      </rPr>
      <t xml:space="preserve"> totaal wave haken motor</t>
    </r>
  </si>
  <si>
    <t>S</t>
  </si>
  <si>
    <t>total tape length retour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</si>
  <si>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Q</t>
    </r>
    <r>
      <rPr>
        <sz val="11"/>
        <color theme="5" tint="-0.249977111117893"/>
        <rFont val="Calibri"/>
        <family val="2"/>
        <scheme val="minor"/>
      </rPr>
      <t xml:space="preserve"> totaal wave haken retour</t>
    </r>
  </si>
  <si>
    <t>T</t>
  </si>
  <si>
    <t>curtain fullness motor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</si>
  <si>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>total tape length motor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( </t>
    </r>
    <r>
      <rPr>
        <sz val="11"/>
        <color theme="5" tint="-0.249977111117893"/>
        <rFont val="Calibri"/>
        <family val="2"/>
        <scheme val="minor"/>
      </rPr>
      <t>#3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Lengterail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/ 2 ) * 100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 xml:space="preserve">total tape length motor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#3 Lengterail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 100</t>
    </r>
    <r>
      <rPr>
        <sz val="11"/>
        <color theme="1"/>
        <rFont val="Calibri"/>
        <family val="2"/>
        <scheme val="minor"/>
      </rPr>
      <t xml:space="preserve"> )</t>
    </r>
  </si>
  <si>
    <t>U</t>
  </si>
  <si>
    <t>curtain fullness retour</t>
  </si>
  <si>
    <r>
      <rPr>
        <b/>
        <sz val="11"/>
        <color theme="5" tint="-0.249977111117893"/>
        <rFont val="Calibri"/>
        <family val="2"/>
        <scheme val="minor"/>
      </rPr>
      <t>R</t>
    </r>
    <r>
      <rPr>
        <sz val="11"/>
        <color theme="5" tint="-0.249977111117893"/>
        <rFont val="Calibri"/>
        <family val="2"/>
        <scheme val="minor"/>
      </rPr>
      <t xml:space="preserve"> total tape length motor</t>
    </r>
    <r>
      <rPr>
        <sz val="11"/>
        <color theme="1"/>
        <rFont val="Calibri"/>
        <family val="2"/>
        <scheme val="minor"/>
      </rPr>
      <t xml:space="preserve">  / 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/ 2 ) * 100</t>
    </r>
  </si>
  <si>
    <r>
      <t>iif(</t>
    </r>
    <r>
      <rPr>
        <sz val="11"/>
        <color theme="5" tint="-0.249977111117893"/>
        <rFont val="Calibri"/>
        <family val="2"/>
        <scheme val="minor"/>
      </rPr>
      <t>#1 easyflex</t>
    </r>
    <r>
      <rPr>
        <sz val="11"/>
        <color theme="1"/>
        <rFont val="Calibri"/>
        <family val="2"/>
        <scheme val="minor"/>
      </rPr>
      <t xml:space="preserve"> &lt;&gt; 0 , 1,38 , 1,05 )</t>
    </r>
  </si>
  <si>
    <t>W</t>
  </si>
  <si>
    <t>minder glijders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</si>
  <si>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W2 </t>
    </r>
    <r>
      <rPr>
        <sz val="11"/>
        <color theme="1"/>
        <rFont val="Calibri"/>
        <family val="2"/>
        <scheme val="minor"/>
      </rPr>
      <t xml:space="preserve"> )</t>
    </r>
  </si>
  <si>
    <t>X</t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</si>
  <si>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X2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</si>
  <si>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t>Y</t>
  </si>
  <si>
    <t>curtain stack motor</t>
  </si>
  <si>
    <t>Start koord</t>
  </si>
  <si>
    <t>Staal</t>
  </si>
  <si>
    <t>Kunststof</t>
  </si>
  <si>
    <r>
      <t>iif(</t>
    </r>
    <r>
      <rPr>
        <sz val="11"/>
        <color theme="5" tint="-0.249977111117893"/>
        <rFont val="Calibri"/>
        <family val="2"/>
        <scheme val="minor"/>
      </rPr>
      <t>#4 5,4cm</t>
    </r>
    <r>
      <rPr>
        <sz val="11"/>
        <color theme="1"/>
        <rFont val="Calibri"/>
        <family val="2"/>
        <scheme val="minor"/>
      </rPr>
      <t xml:space="preserve"> &lt;&gt; 0  , 5.4545 , iif(</t>
    </r>
    <r>
      <rPr>
        <sz val="11"/>
        <color theme="5" tint="-0.249977111117893"/>
        <rFont val="Calibri"/>
        <family val="2"/>
        <scheme val="minor"/>
      </rPr>
      <t>#4 6cm</t>
    </r>
    <r>
      <rPr>
        <sz val="11"/>
        <color theme="1"/>
        <rFont val="Calibri"/>
        <family val="2"/>
        <scheme val="minor"/>
      </rPr>
      <t xml:space="preserve">  &lt;&gt; 0  , 5.9289 , iif(</t>
    </r>
    <r>
      <rPr>
        <sz val="11"/>
        <color theme="5" tint="-0.249977111117893"/>
        <rFont val="Calibri"/>
        <family val="2"/>
        <scheme val="minor"/>
      </rPr>
      <t>#4 8cm</t>
    </r>
    <r>
      <rPr>
        <sz val="11"/>
        <color theme="1"/>
        <rFont val="Calibri"/>
        <family val="2"/>
        <scheme val="minor"/>
      </rPr>
      <t xml:space="preserve">  &lt;&gt; 0  , 7.9130 , 8)))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</si>
  <si>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0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 xml:space="preserve">B1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B2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</si>
  <si>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iif(</t>
    </r>
    <r>
      <rPr>
        <sz val="11"/>
        <color theme="5" tint="-0.249977111117893"/>
        <rFont val="Calibri"/>
        <family val="2"/>
        <scheme val="minor"/>
      </rPr>
      <t xml:space="preserve">#5 LinksenRechts </t>
    </r>
    <r>
      <rPr>
        <sz val="11"/>
        <color theme="1"/>
        <rFont val="Calibri"/>
        <family val="2"/>
        <scheme val="minor"/>
      </rPr>
      <t xml:space="preserve"> &lt;&gt;  0 ,  </t>
    </r>
    <r>
      <rPr>
        <b/>
        <sz val="11"/>
        <color theme="5" tint="-0.249977111117893"/>
        <rFont val="Calibri"/>
        <family val="2"/>
        <scheme val="minor"/>
      </rPr>
      <t xml:space="preserve">C1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),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 xml:space="preserve">C3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C4 </t>
    </r>
    <r>
      <rPr>
        <sz val="11"/>
        <color theme="1"/>
        <rFont val="Calibri"/>
        <family val="2"/>
        <scheme val="minor"/>
      </rPr>
      <t xml:space="preserve"> )  ,  0  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</si>
  <si>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D2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</si>
  <si>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>E1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E2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rgb="FF92D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), 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E3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E4</t>
    </r>
    <r>
      <rPr>
        <sz val="11"/>
        <color theme="1"/>
        <rFont val="Calibri"/>
        <family val="2"/>
        <scheme val="minor"/>
      </rPr>
      <t xml:space="preserve">  ) , 0 ))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</si>
  <si>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F1 </t>
    </r>
    <r>
      <rPr>
        <sz val="11"/>
        <color theme="1"/>
        <rFont val="Calibri"/>
        <family val="2"/>
        <scheme val="minor"/>
      </rPr>
      <t xml:space="preserve"> 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, </t>
    </r>
    <r>
      <rPr>
        <b/>
        <sz val="11"/>
        <color theme="5" tint="-0.249977111117893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 ,  1  ))  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</si>
  <si>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G1  </t>
    </r>
    <r>
      <rPr>
        <sz val="11"/>
        <color theme="1"/>
        <rFont val="Calibri"/>
        <family val="2"/>
        <scheme val="minor"/>
      </rPr>
      <t>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G2  </t>
    </r>
    <r>
      <rPr>
        <sz val="11"/>
        <color theme="1"/>
        <rFont val="Calibri"/>
        <family val="2"/>
        <scheme val="minor"/>
      </rPr>
      <t>,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</si>
  <si>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B2 </t>
    </r>
    <r>
      <rPr>
        <sz val="11"/>
        <color theme="1"/>
        <rFont val="Calibri"/>
        <family val="2"/>
        <scheme val="minor"/>
      </rPr>
      <t xml:space="preserve"> )</t>
    </r>
  </si>
  <si>
    <t>Even/Oneven motor</t>
  </si>
  <si>
    <t>Even/Oneven retour</t>
  </si>
  <si>
    <t>Zaagmaat motorpoelie / links</t>
  </si>
  <si>
    <t>Zaagmaat retourpoelie</t>
  </si>
  <si>
    <t>Minder glijders</t>
  </si>
  <si>
    <t>Lengte voorloper</t>
  </si>
  <si>
    <t>Extra lengte motorpoelie</t>
  </si>
  <si>
    <t>Waarden van geslecteerde rail</t>
  </si>
  <si>
    <t>Rail nummer geselecteerd</t>
  </si>
  <si>
    <t>Pull down menu's</t>
  </si>
  <si>
    <t>Naam rail (pulldownmenu)</t>
  </si>
  <si>
    <t>Juiste verwoording</t>
  </si>
  <si>
    <t>Steel</t>
  </si>
  <si>
    <t>Plastic</t>
  </si>
  <si>
    <t>MRS Universal</t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</si>
  <si>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H</t>
    </r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</si>
  <si>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5" tint="-0.249977111117893"/>
        <rFont val="Calibri"/>
        <family val="2"/>
        <scheme val="minor"/>
      </rPr>
      <t xml:space="preserve"> I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J</t>
    </r>
  </si>
  <si>
    <r>
      <t>math.ceiling(((</t>
    </r>
    <r>
      <rPr>
        <b/>
        <sz val="11"/>
        <color theme="5" tint="-0.249977111117893"/>
        <rFont val="Calibri"/>
        <family val="2"/>
        <scheme val="minor"/>
      </rPr>
      <t xml:space="preserve">N </t>
    </r>
    <r>
      <rPr>
        <sz val="11"/>
        <color theme="5" tint="-0.249977111117893"/>
        <rFont val="Calibri"/>
        <family val="2"/>
        <scheme val="minor"/>
      </rPr>
      <t xml:space="preserve">Formule glijder motor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W</t>
    </r>
    <r>
      <rPr>
        <sz val="11"/>
        <color theme="5" tint="-0.249977111117893"/>
        <rFont val="Calibri"/>
        <family val="2"/>
        <scheme val="minor"/>
      </rPr>
      <t xml:space="preserve"> minderglijders  </t>
    </r>
    <r>
      <rPr>
        <sz val="11"/>
        <color theme="1"/>
        <rFont val="Calibri"/>
        <family val="2"/>
        <scheme val="minor"/>
      </rPr>
      <t xml:space="preserve">)  *  </t>
    </r>
    <r>
      <rPr>
        <b/>
        <sz val="11"/>
        <color theme="5" tint="-0.249977111117893"/>
        <rFont val="Calibri"/>
        <family val="2"/>
        <scheme val="minor"/>
      </rPr>
      <t>V</t>
    </r>
    <r>
      <rPr>
        <sz val="11"/>
        <color theme="5" tint="-0.249977111117893"/>
        <rFont val="Calibri"/>
        <family val="2"/>
        <scheme val="minor"/>
      </rPr>
      <t xml:space="preserve"> breedte glijder  </t>
    </r>
    <r>
      <rPr>
        <sz val="11"/>
        <color theme="1"/>
        <rFont val="Calibri"/>
        <family val="2"/>
        <scheme val="minor"/>
      </rPr>
      <t xml:space="preserve">)  +  ( 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>zaagmaat motor</t>
    </r>
    <r>
      <rPr>
        <sz val="11"/>
        <color theme="1"/>
        <rFont val="Calibri"/>
        <family val="2"/>
        <scheme val="minor"/>
      </rPr>
      <t xml:space="preserve">  +  </t>
    </r>
    <r>
      <rPr>
        <b/>
        <sz val="11"/>
        <color theme="5" tint="-0.249977111117893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 xml:space="preserve">  )  +  </t>
    </r>
    <r>
      <rPr>
        <b/>
        <sz val="11"/>
        <color theme="5" tint="-0.249977111117893"/>
        <rFont val="Calibri"/>
        <family val="2"/>
        <scheme val="minor"/>
      </rPr>
      <t>X</t>
    </r>
    <r>
      <rPr>
        <sz val="11"/>
        <color theme="5" tint="-0.249977111117893"/>
        <rFont val="Calibri"/>
        <family val="2"/>
        <scheme val="minor"/>
      </rPr>
      <t xml:space="preserve"> lengte voorloper  </t>
    </r>
    <r>
      <rPr>
        <sz val="11"/>
        <color theme="1"/>
        <rFont val="Calibri"/>
        <family val="2"/>
        <scheme val="minor"/>
      </rPr>
      <t>)</t>
    </r>
  </si>
  <si>
    <t>Rail type</t>
  </si>
  <si>
    <t>ALLE MATEN IN CM</t>
  </si>
  <si>
    <t>CS Recess</t>
  </si>
  <si>
    <t>KS Recess</t>
  </si>
  <si>
    <t>CRS Corded</t>
  </si>
  <si>
    <t>FMS Plus Recess</t>
  </si>
  <si>
    <t>DS-XL Motorised</t>
  </si>
  <si>
    <t>DS-XL Corded</t>
  </si>
  <si>
    <t>DS-XL LED Motorised</t>
  </si>
  <si>
    <t>Type formule</t>
  </si>
  <si>
    <t>Blauw  =  ""</t>
  </si>
  <si>
    <t>Test incorrecte velden</t>
  </si>
  <si>
    <t>Systeem</t>
  </si>
  <si>
    <t>Band</t>
  </si>
  <si>
    <t>Rail lengte</t>
  </si>
  <si>
    <t>type glijder</t>
  </si>
  <si>
    <t>afstand glijder</t>
  </si>
  <si>
    <t>enkel / dubbel pakket</t>
  </si>
  <si>
    <t>overlap FMS Dual</t>
  </si>
  <si>
    <t>Afstand haken</t>
  </si>
  <si>
    <t>Raillengte heeft tekst</t>
  </si>
  <si>
    <t>Overlap heeft tekst</t>
  </si>
  <si>
    <t>Dual lengte te kort</t>
  </si>
  <si>
    <t>Dual lengte te lang</t>
  </si>
  <si>
    <t>FMS Dual enkel pakket</t>
  </si>
  <si>
    <t>Off-set Assymtrisch gordijn</t>
  </si>
  <si>
    <t>Z</t>
  </si>
  <si>
    <t>Offset rail</t>
  </si>
  <si>
    <t>Off-set heeft tekst</t>
  </si>
  <si>
    <t>Off-set te kort</t>
  </si>
  <si>
    <t>Formule motor</t>
  </si>
  <si>
    <t>Formule retour</t>
  </si>
  <si>
    <t>M1</t>
  </si>
  <si>
    <r>
      <t>iif(</t>
    </r>
    <r>
      <rPr>
        <b/>
        <sz val="11"/>
        <color theme="5" tint="-0.249977111117893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Even/onevenretour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</si>
  <si>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+ </t>
    </r>
    <r>
      <rPr>
        <b/>
        <sz val="11"/>
        <color theme="5" tint="-0.249977111117893"/>
        <rFont val="Calibri"/>
        <family val="2"/>
        <scheme val="minor"/>
      </rPr>
      <t>Z</t>
    </r>
    <r>
      <rPr>
        <sz val="11"/>
        <color theme="5" tint="-0.249977111117893"/>
        <rFont val="Calibri"/>
        <family val="2"/>
        <scheme val="minor"/>
      </rPr>
      <t xml:space="preserve"> 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</si>
  <si>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- </t>
    </r>
    <r>
      <rPr>
        <b/>
        <sz val="11"/>
        <color theme="5" tint="-0.249977111117893"/>
        <rFont val="Calibri"/>
        <family val="2"/>
        <scheme val="minor"/>
      </rPr>
      <t xml:space="preserve">Z </t>
    </r>
    <r>
      <rPr>
        <sz val="11"/>
        <color theme="5" tint="-0.249977111117893"/>
        <rFont val="Calibri"/>
        <family val="2"/>
        <scheme val="minor"/>
      </rPr>
      <t>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</si>
  <si>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t>Asymmetrie</t>
  </si>
  <si>
    <t>Off-set te lang</t>
  </si>
  <si>
    <t>Off-set geen motor</t>
  </si>
  <si>
    <t>Minimale lengte:</t>
  </si>
  <si>
    <t>retourpoelie Eind loopvlak tot eind rail</t>
  </si>
  <si>
    <t>roller =</t>
  </si>
  <si>
    <t>wave =</t>
  </si>
  <si>
    <t>flex =</t>
  </si>
  <si>
    <t>Easywave Roller</t>
  </si>
  <si>
    <t>Wel Roller glijder</t>
  </si>
  <si>
    <t>CRS 20</t>
  </si>
  <si>
    <t>CRS 28</t>
  </si>
  <si>
    <t>Off-set enkel pakket</t>
  </si>
  <si>
    <t>Wit  =  X</t>
  </si>
  <si>
    <t>Wit  =  W</t>
  </si>
  <si>
    <t>Wit  =  L</t>
  </si>
  <si>
    <t>Wit  =  G</t>
  </si>
  <si>
    <t>Wit  =  F</t>
  </si>
  <si>
    <t>Wit  =  D</t>
  </si>
  <si>
    <t>Wit  =  E</t>
  </si>
  <si>
    <t>Wit  =  C</t>
  </si>
  <si>
    <t>Groen  =  I</t>
  </si>
  <si>
    <t>Geel  =  J</t>
  </si>
  <si>
    <t>Wit  =  B</t>
  </si>
  <si>
    <t>Groen  =  H</t>
  </si>
  <si>
    <t>1 = Even</t>
  </si>
  <si>
    <t>0 = Oneven</t>
  </si>
  <si>
    <t>Extra haken motor</t>
  </si>
  <si>
    <t>Symmetrisch gordijn</t>
  </si>
  <si>
    <t>verkeerde glijder</t>
  </si>
  <si>
    <t>motor</t>
  </si>
  <si>
    <t>retour</t>
  </si>
  <si>
    <t>Lengte totale rail</t>
  </si>
  <si>
    <t>zaagmaat</t>
  </si>
  <si>
    <t>/ 2</t>
  </si>
  <si>
    <t>/ afstand glijder</t>
  </si>
  <si>
    <t>+ 1</t>
  </si>
  <si>
    <t>afronden naar boven</t>
  </si>
  <si>
    <t>Easywave =</t>
  </si>
  <si>
    <t>* Includes carriers that are placed inside master carriers.</t>
  </si>
  <si>
    <t>Track type =</t>
  </si>
  <si>
    <t xml:space="preserve">   Easyflex /</t>
  </si>
  <si>
    <t>Track size</t>
  </si>
  <si>
    <t xml:space="preserve"> in cm = </t>
  </si>
  <si>
    <t>/ Center closing</t>
  </si>
  <si>
    <r>
      <t xml:space="preserve">       FES-wave </t>
    </r>
    <r>
      <rPr>
        <sz val="12"/>
        <rFont val="Calibri"/>
        <family val="2"/>
        <scheme val="minor"/>
      </rPr>
      <t>mobile</t>
    </r>
  </si>
  <si>
    <t>V2.0m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</si>
</sst>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3"/>
      <name val="Syntax LT Std Black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sz val="24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5" fillId="0" borderId="0" xfId="0" applyFont="1" applyAlignment="1">
      <alignment vertical="center"/>
    </xf>
    <xf numFmtId="1" fontId="1" fillId="0" borderId="0" xfId="0" applyNumberFormat="1" applyFont="1"/>
    <xf numFmtId="0" fontId="1" fillId="0" borderId="1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3" xfId="0" quotePrefix="1" applyFont="1" applyBorder="1"/>
    <xf numFmtId="0" fontId="6" fillId="0" borderId="0" xfId="0" quotePrefix="1" applyFont="1"/>
    <xf numFmtId="0" fontId="6" fillId="0" borderId="4" xfId="0" quotePrefix="1" applyFont="1" applyBorder="1"/>
    <xf numFmtId="0" fontId="1" fillId="0" borderId="4" xfId="0" applyFont="1" applyBorder="1"/>
    <xf numFmtId="0" fontId="13" fillId="0" borderId="0" xfId="0" applyFont="1"/>
    <xf numFmtId="0" fontId="0" fillId="0" borderId="27" xfId="0" applyBorder="1"/>
    <xf numFmtId="0" fontId="1" fillId="4" borderId="3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19" fillId="0" borderId="32" xfId="0" quotePrefix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0" fillId="0" borderId="0" xfId="0" applyAlignment="1">
      <alignment wrapText="1"/>
    </xf>
    <xf numFmtId="0" fontId="1" fillId="8" borderId="28" xfId="0" quotePrefix="1" applyFont="1" applyFill="1" applyBorder="1" applyAlignment="1">
      <alignment horizontal="center" textRotation="90"/>
    </xf>
    <xf numFmtId="0" fontId="1" fillId="8" borderId="27" xfId="0" quotePrefix="1" applyFont="1" applyFill="1" applyBorder="1" applyAlignment="1">
      <alignment horizontal="center" textRotation="90"/>
    </xf>
    <xf numFmtId="0" fontId="0" fillId="8" borderId="27" xfId="0" applyFill="1" applyBorder="1"/>
    <xf numFmtId="0" fontId="0" fillId="8" borderId="32" xfId="0" applyFill="1" applyBorder="1"/>
    <xf numFmtId="0" fontId="14" fillId="8" borderId="27" xfId="0" applyFont="1" applyFill="1" applyBorder="1" applyAlignment="1">
      <alignment horizontal="center"/>
    </xf>
    <xf numFmtId="0" fontId="1" fillId="8" borderId="31" xfId="0" applyFont="1" applyFill="1" applyBorder="1"/>
    <xf numFmtId="0" fontId="1" fillId="0" borderId="3" xfId="0" applyFont="1" applyBorder="1"/>
    <xf numFmtId="0" fontId="1" fillId="9" borderId="0" xfId="0" applyFont="1" applyFill="1"/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7" borderId="3" xfId="0" quotePrefix="1" applyFill="1" applyBorder="1" applyAlignment="1">
      <alignment horizontal="center"/>
    </xf>
    <xf numFmtId="0" fontId="0" fillId="7" borderId="0" xfId="0" quotePrefix="1" applyFill="1" applyAlignment="1">
      <alignment horizontal="center"/>
    </xf>
    <xf numFmtId="0" fontId="0" fillId="7" borderId="4" xfId="0" quotePrefix="1" applyFill="1" applyBorder="1" applyAlignment="1">
      <alignment horizontal="center"/>
    </xf>
    <xf numFmtId="0" fontId="0" fillId="0" borderId="1" xfId="0" applyBorder="1"/>
    <xf numFmtId="164" fontId="1" fillId="0" borderId="12" xfId="0" applyNumberFormat="1" applyFont="1" applyBorder="1"/>
    <xf numFmtId="9" fontId="7" fillId="0" borderId="10" xfId="0" applyNumberFormat="1" applyFont="1" applyBorder="1"/>
    <xf numFmtId="0" fontId="0" fillId="0" borderId="0" xfId="0" quotePrefix="1" applyAlignment="1">
      <alignment horizontal="center"/>
    </xf>
    <xf numFmtId="0" fontId="0" fillId="0" borderId="0" xfId="0" applyAlignment="1">
      <alignment vertical="center"/>
    </xf>
    <xf numFmtId="9" fontId="7" fillId="0" borderId="14" xfId="0" applyNumberFormat="1" applyFont="1" applyBorder="1"/>
    <xf numFmtId="0" fontId="1" fillId="0" borderId="0" xfId="0" applyFont="1" applyAlignment="1">
      <alignment textRotation="90"/>
    </xf>
    <xf numFmtId="0" fontId="0" fillId="0" borderId="22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24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26" xfId="0" applyBorder="1"/>
    <xf numFmtId="0" fontId="1" fillId="0" borderId="25" xfId="0" applyFont="1" applyBorder="1"/>
    <xf numFmtId="0" fontId="1" fillId="0" borderId="0" xfId="0" quotePrefix="1" applyFont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1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/>
    <xf numFmtId="0" fontId="1" fillId="0" borderId="21" xfId="0" applyFont="1" applyBorder="1" applyAlignment="1">
      <alignment horizontal="center"/>
    </xf>
    <xf numFmtId="0" fontId="1" fillId="4" borderId="21" xfId="0" quotePrefix="1" applyFont="1" applyFill="1" applyBorder="1" applyAlignment="1">
      <alignment horizontal="center"/>
    </xf>
    <xf numFmtId="0" fontId="1" fillId="8" borderId="13" xfId="0" applyFont="1" applyFill="1" applyBorder="1"/>
    <xf numFmtId="0" fontId="1" fillId="8" borderId="11" xfId="0" quotePrefix="1" applyFont="1" applyFill="1" applyBorder="1"/>
    <xf numFmtId="0" fontId="1" fillId="8" borderId="0" xfId="0" applyFont="1" applyFill="1"/>
    <xf numFmtId="0" fontId="1" fillId="8" borderId="8" xfId="0" applyFont="1" applyFill="1" applyBorder="1"/>
    <xf numFmtId="0" fontId="1" fillId="8" borderId="8" xfId="0" applyFont="1" applyFill="1" applyBorder="1" applyAlignment="1">
      <alignment horizontal="center"/>
    </xf>
    <xf numFmtId="0" fontId="18" fillId="0" borderId="0" xfId="0" applyFont="1"/>
    <xf numFmtId="0" fontId="10" fillId="0" borderId="0" xfId="0" applyFont="1"/>
    <xf numFmtId="0" fontId="1" fillId="8" borderId="0" xfId="0" quotePrefix="1" applyFont="1" applyFill="1"/>
    <xf numFmtId="0" fontId="1" fillId="8" borderId="0" xfId="0" applyFont="1" applyFill="1" applyAlignment="1">
      <alignment horizontal="center"/>
    </xf>
    <xf numFmtId="0" fontId="8" fillId="0" borderId="0" xfId="0" quotePrefix="1" applyFont="1"/>
    <xf numFmtId="0" fontId="6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8" borderId="1" xfId="0" applyFont="1" applyFill="1" applyBorder="1"/>
    <xf numFmtId="0" fontId="1" fillId="8" borderId="7" xfId="0" applyFont="1" applyFill="1" applyBorder="1"/>
    <xf numFmtId="0" fontId="1" fillId="3" borderId="0" xfId="0" quotePrefix="1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quotePrefix="1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vertical="center"/>
    </xf>
    <xf numFmtId="0" fontId="5" fillId="3" borderId="0" xfId="0" quotePrefix="1" applyFont="1" applyFill="1"/>
    <xf numFmtId="0" fontId="1" fillId="3" borderId="0" xfId="0" applyFont="1" applyFill="1" applyAlignment="1">
      <alignment horizontal="center"/>
    </xf>
    <xf numFmtId="0" fontId="6" fillId="3" borderId="0" xfId="0" quotePrefix="1" applyFont="1" applyFill="1"/>
    <xf numFmtId="0" fontId="1" fillId="3" borderId="0" xfId="0" quotePrefix="1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1" fillId="3" borderId="0" xfId="0" applyNumberFormat="1" applyFont="1" applyFill="1"/>
    <xf numFmtId="164" fontId="1" fillId="3" borderId="0" xfId="0" applyNumberFormat="1" applyFont="1" applyFill="1"/>
    <xf numFmtId="164" fontId="0" fillId="3" borderId="0" xfId="0" applyNumberFormat="1" applyFill="1"/>
    <xf numFmtId="0" fontId="5" fillId="3" borderId="0" xfId="0" applyFont="1" applyFill="1" applyAlignment="1">
      <alignment horizontal="center"/>
    </xf>
    <xf numFmtId="165" fontId="1" fillId="3" borderId="0" xfId="0" applyNumberFormat="1" applyFont="1" applyFill="1"/>
    <xf numFmtId="9" fontId="7" fillId="3" borderId="0" xfId="0" applyNumberFormat="1" applyFont="1" applyFill="1"/>
    <xf numFmtId="0" fontId="0" fillId="3" borderId="0" xfId="0" applyFill="1" applyAlignment="1">
      <alignment horizontal="right"/>
    </xf>
    <xf numFmtId="0" fontId="9" fillId="3" borderId="0" xfId="0" applyFont="1" applyFill="1"/>
    <xf numFmtId="0" fontId="0" fillId="3" borderId="0" xfId="0" applyFill="1" applyAlignment="1">
      <alignment horizontal="left"/>
    </xf>
    <xf numFmtId="165" fontId="0" fillId="3" borderId="0" xfId="0" applyNumberFormat="1" applyFill="1"/>
    <xf numFmtId="9" fontId="0" fillId="3" borderId="0" xfId="0" applyNumberFormat="1" applyFill="1"/>
    <xf numFmtId="0" fontId="0" fillId="3" borderId="0" xfId="0" quotePrefix="1" applyFill="1"/>
    <xf numFmtId="0" fontId="0" fillId="3" borderId="0" xfId="0" applyFill="1" applyAlignment="1">
      <alignment vertical="center"/>
    </xf>
    <xf numFmtId="0" fontId="17" fillId="3" borderId="0" xfId="0" applyFont="1" applyFill="1"/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8" xfId="0" applyFont="1" applyFill="1" applyBorder="1"/>
    <xf numFmtId="9" fontId="1" fillId="3" borderId="0" xfId="0" applyNumberFormat="1" applyFont="1" applyFill="1" applyAlignment="1">
      <alignment vertical="center"/>
    </xf>
    <xf numFmtId="0" fontId="1" fillId="3" borderId="5" xfId="0" applyFont="1" applyFill="1" applyBorder="1"/>
    <xf numFmtId="1" fontId="1" fillId="3" borderId="0" xfId="0" applyNumberFormat="1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167" fontId="1" fillId="3" borderId="0" xfId="0" applyNumberFormat="1" applyFont="1" applyFill="1"/>
    <xf numFmtId="0" fontId="1" fillId="3" borderId="1" xfId="0" applyFont="1" applyFill="1" applyBorder="1"/>
    <xf numFmtId="0" fontId="1" fillId="3" borderId="7" xfId="0" applyFont="1" applyFill="1" applyBorder="1"/>
    <xf numFmtId="1" fontId="1" fillId="3" borderId="0" xfId="0" applyNumberFormat="1" applyFont="1" applyFill="1" applyAlignment="1">
      <alignment vertical="center"/>
    </xf>
    <xf numFmtId="1" fontId="1" fillId="3" borderId="0" xfId="1" applyNumberFormat="1" applyFont="1" applyFill="1" applyBorder="1" applyAlignment="1" applyProtection="1"/>
    <xf numFmtId="0" fontId="8" fillId="3" borderId="0" xfId="0" applyFont="1" applyFill="1"/>
    <xf numFmtId="0" fontId="12" fillId="3" borderId="0" xfId="0" applyFont="1" applyFill="1"/>
    <xf numFmtId="0" fontId="21" fillId="3" borderId="0" xfId="0" applyFont="1" applyFill="1"/>
    <xf numFmtId="0" fontId="23" fillId="3" borderId="0" xfId="0" quotePrefix="1" applyFont="1" applyFill="1" applyAlignment="1">
      <alignment horizontal="left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8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9" fontId="5" fillId="3" borderId="16" xfId="0" applyNumberFormat="1" applyFont="1" applyFill="1" applyBorder="1" applyAlignment="1" applyProtection="1">
      <alignment horizontal="center" vertical="center"/>
      <protection locked="0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9" fontId="5" fillId="3" borderId="17" xfId="0" applyNumberFormat="1" applyFont="1" applyFill="1" applyBorder="1" applyAlignment="1" applyProtection="1">
      <alignment horizontal="center" vertical="center"/>
      <protection locked="0"/>
    </xf>
    <xf numFmtId="9" fontId="5" fillId="3" borderId="15" xfId="0" applyNumberFormat="1" applyFont="1" applyFill="1" applyBorder="1" applyAlignment="1" applyProtection="1">
      <alignment horizontal="center" vertical="center"/>
      <protection locked="0"/>
    </xf>
    <xf numFmtId="9" fontId="5" fillId="3" borderId="5" xfId="0" applyNumberFormat="1" applyFont="1" applyFill="1" applyBorder="1" applyAlignment="1" applyProtection="1">
      <alignment horizontal="center" vertical="center"/>
      <protection locked="0"/>
    </xf>
    <xf numFmtId="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3" fillId="3" borderId="0" xfId="0" quotePrefix="1" applyFont="1" applyFill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3" fillId="3" borderId="0" xfId="0" applyFont="1" applyFill="1" applyAlignment="1">
      <alignment horizontal="left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" fillId="2" borderId="19" xfId="0" quotePrefix="1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quotePrefix="1" applyFont="1" applyBorder="1" applyAlignment="1">
      <alignment horizontal="center" textRotation="90"/>
    </xf>
    <xf numFmtId="0" fontId="1" fillId="0" borderId="29" xfId="0" quotePrefix="1" applyFont="1" applyBorder="1" applyAlignment="1">
      <alignment horizontal="center" textRotation="90"/>
    </xf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6" fillId="0" borderId="32" xfId="0" quotePrefix="1" applyFont="1" applyBorder="1" applyAlignment="1">
      <alignment horizontal="center"/>
    </xf>
    <xf numFmtId="0" fontId="1" fillId="4" borderId="33" xfId="0" quotePrefix="1" applyFont="1" applyFill="1" applyBorder="1" applyAlignment="1">
      <alignment horizontal="center"/>
    </xf>
    <xf numFmtId="0" fontId="1" fillId="4" borderId="32" xfId="0" quotePrefix="1" applyFont="1" applyFill="1" applyBorder="1" applyAlignment="1">
      <alignment horizontal="center"/>
    </xf>
    <xf numFmtId="0" fontId="1" fillId="0" borderId="3" xfId="0" quotePrefix="1" applyFont="1" applyBorder="1" applyAlignment="1">
      <alignment horizontal="center" textRotation="90"/>
    </xf>
    <xf numFmtId="0" fontId="1" fillId="0" borderId="28" xfId="0" quotePrefix="1" applyFont="1" applyBorder="1" applyAlignment="1">
      <alignment horizontal="center" textRotation="90"/>
    </xf>
    <xf numFmtId="0" fontId="1" fillId="0" borderId="0" xfId="0" quotePrefix="1" applyFont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8" fillId="8" borderId="27" xfId="0" quotePrefix="1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4" xfId="0" applyFill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19" xfId="0" quotePrefix="1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4" fillId="0" borderId="2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164" fontId="0" fillId="2" borderId="19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0" xfId="0" quotePrefix="1" applyFont="1" applyAlignment="1">
      <alignment horizontal="center" textRotation="90" wrapText="1"/>
    </xf>
    <xf numFmtId="0" fontId="1" fillId="0" borderId="4" xfId="0" quotePrefix="1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167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textRotation="90" wrapText="1"/>
    </xf>
    <xf numFmtId="0" fontId="1" fillId="0" borderId="0" xfId="0" quotePrefix="1" applyFont="1" applyAlignment="1">
      <alignment horizontal="center" wrapText="1"/>
    </xf>
    <xf numFmtId="0" fontId="1" fillId="0" borderId="4" xfId="0" quotePrefix="1" applyFont="1" applyBorder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1" fillId="0" borderId="0" xfId="0" quotePrefix="1" applyFont="1" applyAlignment="1">
      <alignment horizontal="center" textRotation="90"/>
    </xf>
    <xf numFmtId="0" fontId="1" fillId="0" borderId="27" xfId="0" quotePrefix="1" applyFont="1" applyBorder="1" applyAlignment="1">
      <alignment horizontal="center" textRotation="90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6B065A"/>
      <color rgb="FFA0528F"/>
      <color rgb="FFA05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12</xdr:col>
      <xdr:colOff>88038</xdr:colOff>
      <xdr:row>4</xdr:row>
      <xdr:rowOff>54829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4A9BD9-3E9F-42C2-BC3A-BF93B7A2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712" y="190500"/>
          <a:ext cx="2326413" cy="626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61C6-8AD5-46EA-9E99-03427D2E940F}">
  <sheetPr codeName="Blad1">
    <tabColor rgb="FFA05599"/>
    <pageSetUpPr fitToPage="1"/>
  </sheetPr>
  <dimension ref="A1:HT1051"/>
  <sheetViews>
    <sheetView tabSelected="1" zoomScaleNormal="100" workbookViewId="0">
      <selection activeCell="D8" sqref="D8:F9"/>
    </sheetView>
  </sheetViews>
  <sheetFormatPr defaultColWidth="3.7109375" defaultRowHeight="15" x14ac:dyDescent="0.25"/>
  <cols>
    <col min="1" max="3" width="4" style="97" customWidth="1"/>
    <col min="4" max="6" width="3.7109375" style="97" customWidth="1"/>
    <col min="7" max="7" width="2.7109375" style="97" customWidth="1"/>
    <col min="8" max="11" width="3.42578125" style="97" customWidth="1"/>
    <col min="12" max="12" width="2.42578125" style="97" customWidth="1"/>
    <col min="13" max="14" width="3.5703125" style="97" customWidth="1"/>
    <col min="15" max="51" width="3.7109375" style="97"/>
    <col min="52" max="52" width="3.7109375" style="114"/>
    <col min="53" max="16384" width="3.7109375" style="97"/>
  </cols>
  <sheetData>
    <row r="1" spans="1:228" s="95" customFormat="1" x14ac:dyDescent="0.25"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Z1" s="98"/>
    </row>
    <row r="2" spans="1:228" s="95" customFormat="1" x14ac:dyDescent="0.25">
      <c r="AA2" s="98"/>
      <c r="AC2" s="98"/>
      <c r="AD2" s="98"/>
      <c r="AL2" s="94"/>
      <c r="AZ2" s="98"/>
    </row>
    <row r="3" spans="1:228" s="95" customFormat="1" ht="15" customHeight="1" x14ac:dyDescent="0.25">
      <c r="W3" s="102"/>
      <c r="X3" s="102"/>
      <c r="Y3" s="102"/>
      <c r="Z3" s="102"/>
      <c r="AZ3" s="98"/>
    </row>
    <row r="4" spans="1:228" s="95" customFormat="1" ht="15" customHeight="1" x14ac:dyDescent="0.25">
      <c r="AZ4" s="98"/>
      <c r="HT4" s="112"/>
    </row>
    <row r="5" spans="1:228" s="95" customFormat="1" ht="15" customHeight="1" x14ac:dyDescent="0.25">
      <c r="A5" s="316" t="s">
        <v>232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AA5" s="104"/>
      <c r="AB5" s="104"/>
      <c r="AC5" s="104"/>
      <c r="AD5" s="122"/>
    </row>
    <row r="6" spans="1:228" s="95" customFormat="1" ht="15" customHeight="1" x14ac:dyDescent="0.25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AA6" s="104"/>
      <c r="AB6" s="104"/>
      <c r="AC6" s="104"/>
      <c r="AD6" s="122"/>
      <c r="AG6" s="123"/>
      <c r="AI6" s="122"/>
    </row>
    <row r="7" spans="1:228" s="95" customFormat="1" ht="15" customHeight="1" thickBot="1" x14ac:dyDescent="0.3">
      <c r="I7" s="124"/>
      <c r="AG7" s="109"/>
      <c r="AH7" s="109"/>
    </row>
    <row r="8" spans="1:228" s="95" customFormat="1" ht="15" customHeight="1" x14ac:dyDescent="0.25">
      <c r="A8" s="211" t="s">
        <v>227</v>
      </c>
      <c r="B8" s="212"/>
      <c r="C8" s="213"/>
      <c r="D8" s="205" t="s">
        <v>65</v>
      </c>
      <c r="E8" s="206"/>
      <c r="F8" s="207"/>
      <c r="G8" s="330" t="str">
        <f>IF(H978=1,"!","")</f>
        <v/>
      </c>
      <c r="H8" s="144"/>
      <c r="I8" s="145"/>
      <c r="J8" s="145"/>
      <c r="K8" s="145"/>
      <c r="L8" s="145"/>
      <c r="M8" s="145"/>
      <c r="N8" s="146"/>
      <c r="P8" s="125"/>
      <c r="AG8" s="109"/>
      <c r="AH8" s="109"/>
    </row>
    <row r="9" spans="1:228" s="95" customFormat="1" ht="15" customHeight="1" x14ac:dyDescent="0.25">
      <c r="A9" s="149"/>
      <c r="B9" s="150"/>
      <c r="C9" s="214"/>
      <c r="D9" s="208"/>
      <c r="E9" s="209"/>
      <c r="F9" s="210"/>
      <c r="G9" s="330"/>
      <c r="H9" s="169" t="str">
        <f ca="1">IF(M9="","","Number of hooks")</f>
        <v>Number of hooks</v>
      </c>
      <c r="I9" s="170"/>
      <c r="J9" s="170"/>
      <c r="K9" s="170"/>
      <c r="L9" s="143" t="str">
        <f ca="1">IF(M9="","",IF(D16=B960,"",IF(J924=1,"M",IF(J924=2,"L",IF(J924=3,"C","")))))</f>
        <v>M</v>
      </c>
      <c r="M9" s="143">
        <f ca="1">IF($H$977=0,BU938,"")</f>
        <v>8</v>
      </c>
      <c r="N9" s="126"/>
      <c r="O9" s="125"/>
      <c r="P9" s="125"/>
      <c r="AA9" s="104"/>
      <c r="AB9" s="104"/>
      <c r="AC9" s="104"/>
      <c r="AG9" s="109"/>
      <c r="AH9" s="109"/>
      <c r="AP9" s="127"/>
      <c r="AQ9" s="127"/>
      <c r="AR9" s="127"/>
      <c r="AS9" s="127"/>
    </row>
    <row r="10" spans="1:228" s="95" customFormat="1" ht="15" customHeight="1" x14ac:dyDescent="0.25">
      <c r="A10" s="317" t="s">
        <v>229</v>
      </c>
      <c r="B10" s="318"/>
      <c r="C10" s="319"/>
      <c r="D10" s="219">
        <v>100</v>
      </c>
      <c r="E10" s="220"/>
      <c r="F10" s="221"/>
      <c r="G10" s="330" t="str">
        <f>IF(H979+H987+H989&gt;=1,"!","")</f>
        <v/>
      </c>
      <c r="H10" s="169" t="str">
        <f ca="1">IF(M9="",""," in curtain needed")</f>
        <v xml:space="preserve"> in curtain needed</v>
      </c>
      <c r="I10" s="170"/>
      <c r="J10" s="170"/>
      <c r="K10" s="170"/>
      <c r="L10" s="143" t="str">
        <f ca="1">IF(H977=1,"",IF(D16=B960,"",IF(J924=0,"",IF(J924=1,"R",IF(J924=2,"R",IF(J924=3,"R",""))))))</f>
        <v>R</v>
      </c>
      <c r="M10" s="143">
        <f ca="1">IF($D$16=B961,IF(M9="","",BU939),"")</f>
        <v>8</v>
      </c>
      <c r="N10" s="126"/>
      <c r="AA10" s="104"/>
      <c r="AB10" s="104"/>
      <c r="AC10" s="104"/>
      <c r="AO10" s="127"/>
      <c r="AP10" s="127"/>
      <c r="AQ10" s="127"/>
      <c r="AR10" s="127"/>
      <c r="AS10" s="127"/>
    </row>
    <row r="11" spans="1:228" s="95" customFormat="1" ht="15" customHeight="1" x14ac:dyDescent="0.25">
      <c r="A11" s="165" t="s">
        <v>230</v>
      </c>
      <c r="B11" s="166"/>
      <c r="C11" s="167"/>
      <c r="D11" s="222"/>
      <c r="E11" s="223"/>
      <c r="F11" s="224"/>
      <c r="G11" s="330"/>
      <c r="H11" s="147"/>
      <c r="I11" s="128"/>
      <c r="J11" s="128"/>
      <c r="K11" s="128"/>
      <c r="L11" s="128"/>
      <c r="M11" s="128"/>
      <c r="N11" s="148"/>
      <c r="AD11" s="129"/>
      <c r="AE11" s="129"/>
      <c r="AF11" s="122"/>
      <c r="AI11" s="130"/>
      <c r="AJ11" s="130"/>
      <c r="AK11" s="131"/>
      <c r="AL11" s="131"/>
      <c r="AM11" s="131"/>
      <c r="AN11" s="131"/>
      <c r="AP11" s="102"/>
      <c r="AQ11" s="102"/>
      <c r="AR11" s="102"/>
      <c r="AS11" s="102"/>
      <c r="AT11" s="131"/>
      <c r="AU11" s="131"/>
    </row>
    <row r="12" spans="1:228" s="95" customFormat="1" ht="15" customHeight="1" x14ac:dyDescent="0.25">
      <c r="A12" s="169" t="s">
        <v>228</v>
      </c>
      <c r="B12" s="170"/>
      <c r="C12" s="171"/>
      <c r="D12" s="159" t="s">
        <v>0</v>
      </c>
      <c r="E12" s="160"/>
      <c r="F12" s="161"/>
      <c r="G12" s="330" t="str">
        <f>IF(OR(H980=1,H981=1),"!","")</f>
        <v/>
      </c>
      <c r="H12" s="147"/>
      <c r="N12" s="148"/>
      <c r="O12" s="132"/>
      <c r="P12" s="132"/>
      <c r="AD12" s="129"/>
      <c r="AE12" s="129"/>
      <c r="AF12" s="122"/>
      <c r="AI12" s="130"/>
      <c r="AJ12" s="130"/>
      <c r="AK12" s="131"/>
      <c r="AL12" s="131"/>
      <c r="AM12" s="131"/>
      <c r="AN12" s="131"/>
      <c r="AO12" s="102"/>
      <c r="AP12" s="102"/>
      <c r="AQ12" s="102"/>
      <c r="AR12" s="102"/>
      <c r="AS12" s="102"/>
      <c r="AT12" s="131"/>
      <c r="AU12" s="131"/>
    </row>
    <row r="13" spans="1:228" s="95" customFormat="1" ht="15" customHeight="1" x14ac:dyDescent="0.25">
      <c r="A13" s="169" t="s">
        <v>225</v>
      </c>
      <c r="B13" s="170"/>
      <c r="C13" s="171"/>
      <c r="D13" s="159"/>
      <c r="E13" s="160"/>
      <c r="F13" s="161"/>
      <c r="G13" s="330"/>
      <c r="H13" s="169" t="str">
        <f ca="1">IF(M9="","","Number of")</f>
        <v>Number of</v>
      </c>
      <c r="I13" s="170"/>
      <c r="J13" s="170"/>
      <c r="K13" s="170"/>
      <c r="L13" s="143" t="str">
        <f ca="1">IF(L9 ="","",L9)</f>
        <v>M</v>
      </c>
      <c r="M13" s="143">
        <f ca="1">IF(M9="","",BU936)</f>
        <v>6</v>
      </c>
      <c r="N13" s="126"/>
      <c r="O13" s="102"/>
      <c r="P13" s="102"/>
      <c r="AA13" s="104"/>
      <c r="AB13" s="104"/>
      <c r="AC13" s="104"/>
      <c r="AE13" s="129"/>
      <c r="AF13" s="122"/>
      <c r="AI13" s="130"/>
      <c r="AJ13" s="102"/>
      <c r="AK13" s="102"/>
      <c r="AL13" s="102"/>
      <c r="AM13" s="102"/>
      <c r="AP13" s="127"/>
      <c r="AQ13" s="127"/>
      <c r="AR13" s="127"/>
      <c r="AS13" s="127"/>
      <c r="AT13" s="131"/>
      <c r="AU13" s="131"/>
    </row>
    <row r="14" spans="1:228" s="95" customFormat="1" ht="15" customHeight="1" x14ac:dyDescent="0.25">
      <c r="A14" s="172" t="s">
        <v>19</v>
      </c>
      <c r="B14" s="173"/>
      <c r="C14" s="174"/>
      <c r="D14" s="151" t="s">
        <v>7</v>
      </c>
      <c r="E14" s="152"/>
      <c r="F14" s="153"/>
      <c r="G14" s="330" t="str">
        <f>IF(H982=1,"!","")</f>
        <v/>
      </c>
      <c r="H14" s="169" t="str">
        <f ca="1">IF(M9="","","carriers needed*")</f>
        <v>carriers needed*</v>
      </c>
      <c r="I14" s="170"/>
      <c r="J14" s="170"/>
      <c r="K14" s="170"/>
      <c r="L14" s="143" t="str">
        <f ca="1">IF(L10 ="","",L10)</f>
        <v>R</v>
      </c>
      <c r="M14" s="143">
        <f ca="1">IF($D$16=B961,IF(M9="","",BU937),"")</f>
        <v>6</v>
      </c>
      <c r="N14" s="126"/>
      <c r="AA14" s="104"/>
      <c r="AB14" s="104"/>
      <c r="AC14" s="104"/>
      <c r="AF14" s="122"/>
      <c r="AG14" s="123"/>
      <c r="AI14" s="130"/>
      <c r="AJ14" s="102"/>
      <c r="AK14" s="102"/>
      <c r="AL14" s="102"/>
      <c r="AM14" s="102"/>
      <c r="AO14" s="127"/>
      <c r="AP14" s="127"/>
      <c r="AQ14" s="127"/>
      <c r="AR14" s="127"/>
      <c r="AS14" s="127"/>
      <c r="AT14" s="131"/>
      <c r="AU14" s="131"/>
    </row>
    <row r="15" spans="1:228" s="95" customFormat="1" ht="15" customHeight="1" x14ac:dyDescent="0.25">
      <c r="A15" s="175"/>
      <c r="B15" s="176"/>
      <c r="C15" s="177"/>
      <c r="D15" s="154"/>
      <c r="E15" s="155"/>
      <c r="F15" s="156"/>
      <c r="G15" s="330"/>
      <c r="H15" s="147"/>
      <c r="I15" s="128"/>
      <c r="J15" s="128"/>
      <c r="K15" s="128"/>
      <c r="L15" s="128"/>
      <c r="M15" s="128"/>
      <c r="N15" s="148"/>
      <c r="AD15" s="129"/>
      <c r="AE15" s="129"/>
      <c r="AF15" s="122"/>
      <c r="AG15" s="133"/>
      <c r="AH15" s="133"/>
      <c r="AI15" s="130"/>
      <c r="AP15" s="102"/>
      <c r="AQ15" s="102"/>
      <c r="AR15" s="102"/>
      <c r="AS15" s="102"/>
      <c r="AT15" s="131"/>
      <c r="AU15" s="131"/>
    </row>
    <row r="16" spans="1:228" s="95" customFormat="1" ht="15.75" customHeight="1" x14ac:dyDescent="0.25">
      <c r="A16" s="190" t="s">
        <v>8</v>
      </c>
      <c r="B16" s="191"/>
      <c r="C16" s="192"/>
      <c r="D16" s="159" t="s">
        <v>9</v>
      </c>
      <c r="E16" s="160"/>
      <c r="F16" s="161"/>
      <c r="G16" s="330" t="str">
        <f>IF(H983+H996&gt;=1,"!","")</f>
        <v/>
      </c>
      <c r="H16" s="147"/>
      <c r="N16" s="148"/>
      <c r="AD16" s="129"/>
      <c r="AE16" s="129"/>
      <c r="AF16" s="122"/>
      <c r="AG16" s="133"/>
      <c r="AH16" s="133"/>
      <c r="AI16" s="130"/>
      <c r="AO16" s="102"/>
      <c r="AP16" s="102"/>
      <c r="AQ16" s="102"/>
      <c r="AR16" s="102"/>
      <c r="AS16" s="102"/>
      <c r="AT16" s="131"/>
      <c r="AU16" s="131"/>
    </row>
    <row r="17" spans="1:47" s="95" customFormat="1" ht="15.75" customHeight="1" x14ac:dyDescent="0.25">
      <c r="A17" s="193" t="s">
        <v>231</v>
      </c>
      <c r="B17" s="194"/>
      <c r="C17" s="195"/>
      <c r="D17" s="159"/>
      <c r="E17" s="160"/>
      <c r="F17" s="161"/>
      <c r="G17" s="330"/>
      <c r="H17" s="149" t="str">
        <f ca="1">IF(M9="","","Curtain stacking")</f>
        <v>Curtain stacking</v>
      </c>
      <c r="I17" s="150"/>
      <c r="J17" s="150"/>
      <c r="K17" s="150"/>
      <c r="L17" s="143" t="str">
        <f ca="1">IF(L9 ="","",L9)</f>
        <v>M</v>
      </c>
      <c r="M17" s="143">
        <f ca="1">IF(M9="","",BU947)</f>
        <v>21</v>
      </c>
      <c r="N17" s="126" t="str">
        <f ca="1">IF(M17="","","cm")</f>
        <v>cm</v>
      </c>
      <c r="AD17" s="129"/>
      <c r="AE17" s="129"/>
      <c r="AF17" s="122"/>
      <c r="AG17" s="133"/>
      <c r="AH17" s="133"/>
      <c r="AI17" s="130"/>
      <c r="AJ17" s="102"/>
      <c r="AK17" s="102"/>
      <c r="AL17" s="102"/>
      <c r="AM17" s="102"/>
      <c r="AP17" s="136"/>
      <c r="AQ17" s="136"/>
      <c r="AR17" s="136"/>
      <c r="AS17" s="136"/>
      <c r="AT17" s="131"/>
      <c r="AU17" s="131"/>
    </row>
    <row r="18" spans="1:47" s="95" customFormat="1" ht="15" customHeight="1" x14ac:dyDescent="0.25">
      <c r="A18" s="184" t="str">
        <f ca="1">IF(S924=0,"","Master type:")</f>
        <v>Master type:</v>
      </c>
      <c r="B18" s="185"/>
      <c r="C18" s="186"/>
      <c r="D18" s="151" t="s">
        <v>145</v>
      </c>
      <c r="E18" s="152"/>
      <c r="F18" s="153"/>
      <c r="G18" s="330" t="str">
        <f ca="1">IF(H984=1,"!","")</f>
        <v/>
      </c>
      <c r="H18" s="149" t="str">
        <f ca="1">IF(M9="","","in open position")</f>
        <v>in open position</v>
      </c>
      <c r="I18" s="150"/>
      <c r="J18" s="150"/>
      <c r="K18" s="150"/>
      <c r="L18" s="143" t="str">
        <f ca="1">IF(L10 ="","",L10)</f>
        <v>R</v>
      </c>
      <c r="M18" s="143">
        <f ca="1">IF($D$16=B961,IF(M9="","",CEILING(BU947,1)),"")</f>
        <v>21</v>
      </c>
      <c r="N18" s="126" t="str">
        <f ca="1">IF(M18="","","cm")</f>
        <v>cm</v>
      </c>
      <c r="AD18" s="129"/>
      <c r="AE18" s="129"/>
      <c r="AF18" s="122"/>
      <c r="AI18" s="130"/>
      <c r="AJ18" s="102"/>
      <c r="AK18" s="102"/>
      <c r="AL18" s="102"/>
      <c r="AM18" s="102"/>
      <c r="AO18" s="136"/>
      <c r="AP18" s="136"/>
      <c r="AQ18" s="136"/>
      <c r="AR18" s="136"/>
      <c r="AS18" s="136"/>
      <c r="AT18" s="131"/>
      <c r="AU18" s="131"/>
    </row>
    <row r="19" spans="1:47" s="95" customFormat="1" ht="15" customHeight="1" thickBot="1" x14ac:dyDescent="0.3">
      <c r="A19" s="187" t="str">
        <f ca="1">IF(S924=0,"","Steel / Plastic")</f>
        <v>Steel / Plastic</v>
      </c>
      <c r="B19" s="188"/>
      <c r="C19" s="189"/>
      <c r="D19" s="154"/>
      <c r="E19" s="155"/>
      <c r="F19" s="156"/>
      <c r="G19" s="330"/>
      <c r="H19" s="157" t="str">
        <f ca="1">IF(M9="","","(minimal)")</f>
        <v>(minimal)</v>
      </c>
      <c r="I19" s="158"/>
      <c r="J19" s="158"/>
      <c r="K19" s="158"/>
      <c r="L19" s="134"/>
      <c r="M19" s="134"/>
      <c r="N19" s="135"/>
      <c r="AD19" s="137"/>
      <c r="AE19" s="137"/>
      <c r="AF19" s="122"/>
      <c r="AI19" s="130"/>
      <c r="AJ19" s="138"/>
      <c r="AK19" s="138"/>
      <c r="AL19" s="138"/>
      <c r="AM19" s="138"/>
      <c r="AS19" s="131"/>
      <c r="AT19" s="131"/>
      <c r="AU19" s="131"/>
    </row>
    <row r="20" spans="1:47" s="95" customFormat="1" ht="15" customHeight="1" x14ac:dyDescent="0.25">
      <c r="A20" s="178" t="str">
        <f>IF(D8=A943,"Distance overlap in cm","")</f>
        <v/>
      </c>
      <c r="B20" s="179"/>
      <c r="C20" s="180"/>
      <c r="D20" s="159">
        <v>10</v>
      </c>
      <c r="E20" s="160"/>
      <c r="F20" s="161"/>
      <c r="G20" s="330" t="str">
        <f>IF(D8=A943,IF(D20="","!",IF(H998=1,"!",IF(H997=1,"!",""))),"")</f>
        <v/>
      </c>
      <c r="AD20" s="137"/>
      <c r="AE20" s="137"/>
      <c r="AF20" s="122"/>
      <c r="AI20" s="130"/>
      <c r="AJ20" s="139"/>
      <c r="AK20" s="139"/>
      <c r="AL20" s="139"/>
      <c r="AM20" s="139"/>
      <c r="AS20" s="131"/>
      <c r="AT20" s="131"/>
      <c r="AU20" s="131"/>
    </row>
    <row r="21" spans="1:47" s="95" customFormat="1" ht="15" customHeight="1" thickBot="1" x14ac:dyDescent="0.3">
      <c r="A21" s="181"/>
      <c r="B21" s="182"/>
      <c r="C21" s="183"/>
      <c r="D21" s="162"/>
      <c r="E21" s="163"/>
      <c r="F21" s="164"/>
      <c r="G21" s="330"/>
      <c r="AF21" s="122"/>
      <c r="AI21" s="130"/>
      <c r="AJ21" s="132"/>
      <c r="AK21" s="132"/>
      <c r="AL21" s="132"/>
      <c r="AM21" s="132"/>
      <c r="AN21" s="102"/>
      <c r="AO21" s="102"/>
      <c r="AP21" s="102"/>
      <c r="AQ21" s="102"/>
      <c r="AR21" s="102"/>
      <c r="AS21" s="131"/>
      <c r="AT21" s="131"/>
      <c r="AU21" s="131"/>
    </row>
    <row r="22" spans="1:47" s="95" customFormat="1" ht="15" customHeight="1" x14ac:dyDescent="0.25">
      <c r="AF22" s="122"/>
      <c r="AI22" s="130"/>
      <c r="AJ22" s="132"/>
      <c r="AK22" s="132"/>
      <c r="AL22" s="132"/>
      <c r="AM22" s="132"/>
      <c r="AN22" s="102"/>
      <c r="AO22" s="102"/>
      <c r="AP22" s="102"/>
      <c r="AQ22" s="102"/>
      <c r="AR22" s="102"/>
      <c r="AS22" s="131"/>
      <c r="AT22" s="131"/>
      <c r="AU22" s="131"/>
    </row>
    <row r="23" spans="1:47" s="95" customFormat="1" ht="15" customHeight="1" x14ac:dyDescent="0.25">
      <c r="AE23" s="136"/>
      <c r="AF23" s="102"/>
      <c r="AI23" s="130"/>
      <c r="AJ23" s="102"/>
      <c r="AK23" s="102"/>
      <c r="AL23" s="102"/>
      <c r="AM23" s="102"/>
      <c r="AS23" s="131"/>
      <c r="AT23" s="131"/>
      <c r="AU23" s="131"/>
    </row>
    <row r="24" spans="1:47" s="95" customFormat="1" ht="15" customHeight="1" x14ac:dyDescent="0.25">
      <c r="A24" s="204" t="s">
        <v>233</v>
      </c>
      <c r="B24" s="204"/>
      <c r="W24" s="98"/>
      <c r="AD24" s="136"/>
      <c r="AE24" s="136"/>
      <c r="AF24" s="102"/>
      <c r="AI24" s="130"/>
      <c r="AJ24" s="102"/>
      <c r="AK24" s="102"/>
      <c r="AL24" s="102"/>
      <c r="AM24" s="102"/>
      <c r="AS24" s="131"/>
      <c r="AT24" s="131"/>
      <c r="AU24" s="131"/>
    </row>
    <row r="25" spans="1:47" s="95" customFormat="1" ht="15" customHeight="1" x14ac:dyDescent="0.25">
      <c r="A25" s="218" t="s">
        <v>226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P25" s="140"/>
      <c r="W25" s="98"/>
      <c r="AD25" s="136"/>
      <c r="AE25" s="136"/>
      <c r="AF25" s="102"/>
    </row>
    <row r="26" spans="1:47" s="95" customFormat="1" ht="15" customHeight="1" x14ac:dyDescent="0.25">
      <c r="A26" s="168" t="s">
        <v>30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1:47" s="95" customFormat="1" x14ac:dyDescent="0.25">
      <c r="A27" s="168" t="s">
        <v>15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AJ27" s="142"/>
      <c r="AK27" s="142"/>
      <c r="AL27" s="136"/>
      <c r="AM27" s="136"/>
      <c r="AN27" s="136"/>
    </row>
    <row r="28" spans="1:47" s="95" customFormat="1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AJ28" s="142"/>
      <c r="AK28" s="142"/>
      <c r="AL28" s="136"/>
      <c r="AM28" s="136"/>
      <c r="AN28" s="136"/>
    </row>
    <row r="29" spans="1:47" s="95" customFormat="1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AJ29" s="142"/>
      <c r="AK29" s="142"/>
      <c r="AL29" s="136"/>
      <c r="AM29" s="136"/>
      <c r="AN29" s="136"/>
    </row>
    <row r="30" spans="1:47" s="95" customForma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AJ30" s="142"/>
      <c r="AK30" s="142"/>
      <c r="AL30" s="136"/>
      <c r="AM30" s="136"/>
      <c r="AN30" s="136"/>
    </row>
    <row r="31" spans="1:47" s="95" customFormat="1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AJ31" s="142"/>
      <c r="AK31" s="142"/>
      <c r="AL31" s="136"/>
      <c r="AM31" s="136"/>
      <c r="AN31" s="136"/>
    </row>
    <row r="32" spans="1:47" s="95" customFormat="1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AJ32" s="142"/>
      <c r="AK32" s="142"/>
      <c r="AL32" s="136"/>
      <c r="AM32" s="136"/>
      <c r="AN32" s="136"/>
    </row>
    <row r="33" spans="1:40" s="95" customFormat="1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AJ33" s="142"/>
      <c r="AK33" s="142"/>
      <c r="AL33" s="136"/>
      <c r="AM33" s="136"/>
      <c r="AN33" s="136"/>
    </row>
    <row r="34" spans="1:40" s="95" customFormat="1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AJ34" s="142"/>
      <c r="AK34" s="142"/>
      <c r="AL34" s="136"/>
      <c r="AM34" s="136"/>
      <c r="AN34" s="136"/>
    </row>
    <row r="35" spans="1:40" s="95" customFormat="1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AJ35" s="142"/>
      <c r="AK35" s="142"/>
      <c r="AL35" s="136"/>
      <c r="AM35" s="136"/>
      <c r="AN35" s="136"/>
    </row>
    <row r="36" spans="1:40" s="95" customFormat="1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AJ36" s="142"/>
      <c r="AK36" s="142"/>
      <c r="AL36" s="136"/>
      <c r="AM36" s="136"/>
      <c r="AN36" s="136"/>
    </row>
    <row r="37" spans="1:40" s="95" customFormat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AJ37" s="142"/>
      <c r="AK37" s="142"/>
      <c r="AL37" s="136"/>
      <c r="AM37" s="136"/>
      <c r="AN37" s="136"/>
    </row>
    <row r="38" spans="1:40" s="95" customForma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AJ38" s="142"/>
      <c r="AK38" s="142"/>
      <c r="AL38" s="136"/>
      <c r="AM38" s="136"/>
      <c r="AN38" s="136"/>
    </row>
    <row r="39" spans="1:40" s="95" customFormat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AJ39" s="142"/>
      <c r="AK39" s="142"/>
      <c r="AL39" s="136"/>
      <c r="AM39" s="136"/>
      <c r="AN39" s="136"/>
    </row>
    <row r="40" spans="1:40" s="95" customFormat="1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AJ40" s="142"/>
      <c r="AK40" s="142"/>
      <c r="AL40" s="136"/>
      <c r="AM40" s="136"/>
      <c r="AN40" s="136"/>
    </row>
    <row r="41" spans="1:40" s="95" customFormat="1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AJ41" s="142"/>
      <c r="AK41" s="142"/>
      <c r="AL41" s="136"/>
      <c r="AM41" s="136"/>
      <c r="AN41" s="136"/>
    </row>
    <row r="42" spans="1:40" s="95" customFormat="1" x14ac:dyDescent="0.25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AJ42" s="142"/>
      <c r="AK42" s="142"/>
      <c r="AL42" s="136"/>
      <c r="AM42" s="136"/>
      <c r="AN42" s="136"/>
    </row>
    <row r="43" spans="1:40" s="95" customFormat="1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AJ43" s="142"/>
      <c r="AK43" s="142"/>
      <c r="AL43" s="136"/>
      <c r="AM43" s="136"/>
      <c r="AN43" s="136"/>
    </row>
    <row r="44" spans="1:40" s="95" customFormat="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AJ44" s="142"/>
      <c r="AK44" s="142"/>
      <c r="AL44" s="136"/>
      <c r="AM44" s="136"/>
      <c r="AN44" s="136"/>
    </row>
    <row r="45" spans="1:40" s="95" customFormat="1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AJ45" s="142"/>
      <c r="AK45" s="142"/>
      <c r="AL45" s="136"/>
      <c r="AM45" s="136"/>
      <c r="AN45" s="136"/>
    </row>
    <row r="46" spans="1:40" s="95" customFormat="1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AJ46" s="142"/>
      <c r="AK46" s="142"/>
      <c r="AL46" s="136"/>
      <c r="AM46" s="136"/>
      <c r="AN46" s="136"/>
    </row>
    <row r="47" spans="1:40" s="95" customFormat="1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AJ47" s="142"/>
      <c r="AK47" s="142"/>
      <c r="AL47" s="136"/>
      <c r="AM47" s="136"/>
      <c r="AN47" s="136"/>
    </row>
    <row r="48" spans="1:40" s="95" customFormat="1" x14ac:dyDescent="0.25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AJ48" s="142"/>
      <c r="AK48" s="142"/>
      <c r="AL48" s="136"/>
      <c r="AM48" s="136"/>
      <c r="AN48" s="136"/>
    </row>
    <row r="49" spans="1:40" s="95" customFormat="1" x14ac:dyDescent="0.25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AJ49" s="142"/>
      <c r="AK49" s="142"/>
      <c r="AL49" s="136"/>
      <c r="AM49" s="136"/>
      <c r="AN49" s="136"/>
    </row>
    <row r="50" spans="1:40" s="95" customFormat="1" x14ac:dyDescent="0.25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AJ50" s="142"/>
      <c r="AK50" s="142"/>
      <c r="AL50" s="136"/>
      <c r="AM50" s="136"/>
      <c r="AN50" s="136"/>
    </row>
    <row r="51" spans="1:40" s="95" customFormat="1" x14ac:dyDescent="0.25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AJ51" s="142"/>
      <c r="AK51" s="142"/>
      <c r="AL51" s="136"/>
      <c r="AM51" s="136"/>
      <c r="AN51" s="136"/>
    </row>
    <row r="52" spans="1:40" s="95" customFormat="1" x14ac:dyDescent="0.25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AJ52" s="142"/>
      <c r="AK52" s="142"/>
      <c r="AL52" s="136"/>
      <c r="AM52" s="136"/>
      <c r="AN52" s="136"/>
    </row>
    <row r="53" spans="1:40" s="95" customFormat="1" x14ac:dyDescent="0.25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AJ53" s="142"/>
      <c r="AK53" s="142"/>
      <c r="AL53" s="136"/>
      <c r="AM53" s="136"/>
      <c r="AN53" s="136"/>
    </row>
    <row r="54" spans="1:40" s="95" customFormat="1" x14ac:dyDescent="0.25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AJ54" s="142"/>
      <c r="AK54" s="142"/>
      <c r="AL54" s="136"/>
      <c r="AM54" s="136"/>
      <c r="AN54" s="136"/>
    </row>
    <row r="55" spans="1:40" s="95" customFormat="1" x14ac:dyDescent="0.25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AJ55" s="142"/>
      <c r="AK55" s="142"/>
      <c r="AL55" s="136"/>
      <c r="AM55" s="136"/>
      <c r="AN55" s="136"/>
    </row>
    <row r="56" spans="1:40" s="95" customFormat="1" x14ac:dyDescent="0.25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AJ56" s="142"/>
      <c r="AK56" s="142"/>
      <c r="AL56" s="136"/>
      <c r="AM56" s="136"/>
      <c r="AN56" s="136"/>
    </row>
    <row r="57" spans="1:40" s="95" customFormat="1" x14ac:dyDescent="0.25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AJ57" s="142"/>
      <c r="AK57" s="142"/>
      <c r="AL57" s="136"/>
      <c r="AM57" s="136"/>
      <c r="AN57" s="136"/>
    </row>
    <row r="58" spans="1:40" s="95" customFormat="1" x14ac:dyDescent="0.25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AJ58" s="142"/>
      <c r="AK58" s="142"/>
      <c r="AL58" s="136"/>
      <c r="AM58" s="136"/>
      <c r="AN58" s="136"/>
    </row>
    <row r="59" spans="1:40" s="95" customFormat="1" x14ac:dyDescent="0.25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AJ59" s="142"/>
      <c r="AK59" s="142"/>
      <c r="AL59" s="136"/>
      <c r="AM59" s="136"/>
      <c r="AN59" s="136"/>
    </row>
    <row r="60" spans="1:40" s="95" customFormat="1" x14ac:dyDescent="0.25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AJ60" s="142"/>
      <c r="AK60" s="142"/>
      <c r="AL60" s="136"/>
      <c r="AM60" s="136"/>
      <c r="AN60" s="136"/>
    </row>
    <row r="61" spans="1:40" s="95" customFormat="1" x14ac:dyDescent="0.25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AJ61" s="142"/>
      <c r="AK61" s="142"/>
      <c r="AL61" s="136"/>
      <c r="AM61" s="136"/>
      <c r="AN61" s="136"/>
    </row>
    <row r="62" spans="1:40" s="95" customFormat="1" x14ac:dyDescent="0.25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AJ62" s="142"/>
      <c r="AK62" s="142"/>
      <c r="AL62" s="136"/>
      <c r="AM62" s="136"/>
      <c r="AN62" s="136"/>
    </row>
    <row r="63" spans="1:40" s="95" customFormat="1" x14ac:dyDescent="0.25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AJ63" s="142"/>
      <c r="AK63" s="142"/>
      <c r="AL63" s="136"/>
      <c r="AM63" s="136"/>
      <c r="AN63" s="136"/>
    </row>
    <row r="64" spans="1:40" s="95" customFormat="1" x14ac:dyDescent="0.25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AJ64" s="142"/>
      <c r="AK64" s="142"/>
      <c r="AL64" s="136"/>
      <c r="AM64" s="136"/>
      <c r="AN64" s="136"/>
    </row>
    <row r="65" spans="1:40" s="95" customFormat="1" x14ac:dyDescent="0.25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AJ65" s="142"/>
      <c r="AK65" s="142"/>
      <c r="AL65" s="136"/>
      <c r="AM65" s="136"/>
      <c r="AN65" s="136"/>
    </row>
    <row r="66" spans="1:40" s="95" customFormat="1" x14ac:dyDescent="0.25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AJ66" s="142"/>
      <c r="AK66" s="142"/>
      <c r="AL66" s="136"/>
      <c r="AM66" s="136"/>
      <c r="AN66" s="136"/>
    </row>
    <row r="67" spans="1:40" s="95" customFormat="1" x14ac:dyDescent="0.25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AJ67" s="142"/>
      <c r="AK67" s="142"/>
      <c r="AL67" s="136"/>
      <c r="AM67" s="136"/>
      <c r="AN67" s="136"/>
    </row>
    <row r="68" spans="1:40" s="95" customFormat="1" x14ac:dyDescent="0.25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AJ68" s="142"/>
      <c r="AK68" s="142"/>
      <c r="AL68" s="136"/>
      <c r="AM68" s="136"/>
      <c r="AN68" s="136"/>
    </row>
    <row r="69" spans="1:40" s="95" customFormat="1" x14ac:dyDescent="0.25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AJ69" s="142"/>
      <c r="AK69" s="142"/>
      <c r="AL69" s="136"/>
      <c r="AM69" s="136"/>
      <c r="AN69" s="136"/>
    </row>
    <row r="70" spans="1:40" s="95" customFormat="1" x14ac:dyDescent="0.25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AJ70" s="142"/>
      <c r="AK70" s="142"/>
      <c r="AL70" s="136"/>
      <c r="AM70" s="136"/>
      <c r="AN70" s="136"/>
    </row>
    <row r="71" spans="1:40" s="95" customFormat="1" x14ac:dyDescent="0.25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AJ71" s="142"/>
      <c r="AK71" s="142"/>
      <c r="AL71" s="136"/>
      <c r="AM71" s="136"/>
      <c r="AN71" s="136"/>
    </row>
    <row r="72" spans="1:40" s="95" customFormat="1" x14ac:dyDescent="0.25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AJ72" s="142"/>
      <c r="AK72" s="142"/>
      <c r="AL72" s="136"/>
      <c r="AM72" s="136"/>
      <c r="AN72" s="136"/>
    </row>
    <row r="73" spans="1:40" s="95" customFormat="1" x14ac:dyDescent="0.25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AJ73" s="142"/>
      <c r="AK73" s="142"/>
      <c r="AL73" s="136"/>
      <c r="AM73" s="136"/>
      <c r="AN73" s="136"/>
    </row>
    <row r="74" spans="1:40" s="95" customFormat="1" x14ac:dyDescent="0.25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AJ74" s="142"/>
      <c r="AK74" s="142"/>
      <c r="AL74" s="136"/>
      <c r="AM74" s="136"/>
      <c r="AN74" s="136"/>
    </row>
    <row r="75" spans="1:40" s="95" customFormat="1" x14ac:dyDescent="0.25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AJ75" s="142"/>
      <c r="AK75" s="142"/>
      <c r="AL75" s="136"/>
      <c r="AM75" s="136"/>
      <c r="AN75" s="136"/>
    </row>
    <row r="76" spans="1:40" s="95" customFormat="1" x14ac:dyDescent="0.25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AJ76" s="142"/>
      <c r="AK76" s="142"/>
      <c r="AL76" s="136"/>
      <c r="AM76" s="136"/>
      <c r="AN76" s="136"/>
    </row>
    <row r="77" spans="1:40" s="95" customFormat="1" x14ac:dyDescent="0.25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AJ77" s="142"/>
      <c r="AK77" s="142"/>
      <c r="AL77" s="136"/>
      <c r="AM77" s="136"/>
      <c r="AN77" s="136"/>
    </row>
    <row r="78" spans="1:40" s="95" customFormat="1" x14ac:dyDescent="0.25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AJ78" s="142"/>
      <c r="AK78" s="142"/>
      <c r="AL78" s="136"/>
      <c r="AM78" s="136"/>
      <c r="AN78" s="136"/>
    </row>
    <row r="79" spans="1:40" s="95" customFormat="1" x14ac:dyDescent="0.25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AJ79" s="142"/>
      <c r="AK79" s="142"/>
      <c r="AL79" s="136"/>
      <c r="AM79" s="136"/>
      <c r="AN79" s="136"/>
    </row>
    <row r="80" spans="1:40" s="95" customFormat="1" x14ac:dyDescent="0.25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AJ80" s="142"/>
      <c r="AK80" s="142"/>
      <c r="AL80" s="136"/>
      <c r="AM80" s="136"/>
      <c r="AN80" s="136"/>
    </row>
    <row r="81" spans="1:40" s="95" customFormat="1" x14ac:dyDescent="0.25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AJ81" s="142"/>
      <c r="AK81" s="142"/>
      <c r="AL81" s="136"/>
      <c r="AM81" s="136"/>
      <c r="AN81" s="136"/>
    </row>
    <row r="82" spans="1:40" s="95" customFormat="1" x14ac:dyDescent="0.25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AJ82" s="142"/>
      <c r="AK82" s="142"/>
      <c r="AL82" s="136"/>
      <c r="AM82" s="136"/>
      <c r="AN82" s="136"/>
    </row>
    <row r="83" spans="1:40" s="95" customFormat="1" x14ac:dyDescent="0.25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AJ83" s="142"/>
      <c r="AK83" s="142"/>
      <c r="AL83" s="136"/>
      <c r="AM83" s="136"/>
      <c r="AN83" s="136"/>
    </row>
    <row r="84" spans="1:40" s="95" customFormat="1" x14ac:dyDescent="0.25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AJ84" s="142"/>
      <c r="AK84" s="142"/>
      <c r="AL84" s="136"/>
      <c r="AM84" s="136"/>
      <c r="AN84" s="136"/>
    </row>
    <row r="85" spans="1:40" s="95" customFormat="1" x14ac:dyDescent="0.25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AJ85" s="142"/>
      <c r="AK85" s="142"/>
      <c r="AL85" s="136"/>
      <c r="AM85" s="136"/>
      <c r="AN85" s="136"/>
    </row>
    <row r="86" spans="1:40" s="95" customFormat="1" x14ac:dyDescent="0.25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AJ86" s="142"/>
      <c r="AK86" s="142"/>
      <c r="AL86" s="136"/>
      <c r="AM86" s="136"/>
      <c r="AN86" s="136"/>
    </row>
    <row r="87" spans="1:40" s="95" customFormat="1" x14ac:dyDescent="0.25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AJ87" s="142"/>
      <c r="AK87" s="142"/>
      <c r="AL87" s="136"/>
      <c r="AM87" s="136"/>
      <c r="AN87" s="136"/>
    </row>
    <row r="88" spans="1:40" s="95" customFormat="1" x14ac:dyDescent="0.25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AJ88" s="142"/>
      <c r="AK88" s="142"/>
      <c r="AL88" s="136"/>
      <c r="AM88" s="136"/>
      <c r="AN88" s="136"/>
    </row>
    <row r="89" spans="1:40" s="95" customFormat="1" x14ac:dyDescent="0.25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AJ89" s="142"/>
      <c r="AK89" s="142"/>
      <c r="AL89" s="136"/>
      <c r="AM89" s="136"/>
      <c r="AN89" s="136"/>
    </row>
    <row r="90" spans="1:40" s="95" customFormat="1" x14ac:dyDescent="0.25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AJ90" s="142"/>
      <c r="AK90" s="142"/>
      <c r="AL90" s="136"/>
      <c r="AM90" s="136"/>
      <c r="AN90" s="136"/>
    </row>
    <row r="91" spans="1:40" s="95" customFormat="1" x14ac:dyDescent="0.25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AJ91" s="142"/>
      <c r="AK91" s="142"/>
      <c r="AL91" s="136"/>
      <c r="AM91" s="136"/>
      <c r="AN91" s="136"/>
    </row>
    <row r="92" spans="1:40" s="95" customFormat="1" x14ac:dyDescent="0.25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AJ92" s="142"/>
      <c r="AK92" s="142"/>
      <c r="AL92" s="136"/>
      <c r="AM92" s="136"/>
      <c r="AN92" s="136"/>
    </row>
    <row r="93" spans="1:40" s="95" customFormat="1" x14ac:dyDescent="0.25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AJ93" s="142"/>
      <c r="AK93" s="142"/>
      <c r="AL93" s="136"/>
      <c r="AM93" s="136"/>
      <c r="AN93" s="136"/>
    </row>
    <row r="94" spans="1:40" s="95" customFormat="1" x14ac:dyDescent="0.25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AJ94" s="142"/>
      <c r="AK94" s="142"/>
      <c r="AL94" s="136"/>
      <c r="AM94" s="136"/>
      <c r="AN94" s="136"/>
    </row>
    <row r="95" spans="1:40" s="95" customFormat="1" x14ac:dyDescent="0.25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AJ95" s="142"/>
      <c r="AK95" s="142"/>
      <c r="AL95" s="136"/>
      <c r="AM95" s="136"/>
      <c r="AN95" s="136"/>
    </row>
    <row r="96" spans="1:40" s="95" customFormat="1" x14ac:dyDescent="0.25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AJ96" s="142"/>
      <c r="AK96" s="142"/>
      <c r="AL96" s="136"/>
      <c r="AM96" s="136"/>
      <c r="AN96" s="136"/>
    </row>
    <row r="97" spans="1:40" s="95" customFormat="1" x14ac:dyDescent="0.25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AJ97" s="142"/>
      <c r="AK97" s="142"/>
      <c r="AL97" s="136"/>
      <c r="AM97" s="136"/>
      <c r="AN97" s="136"/>
    </row>
    <row r="98" spans="1:40" s="95" customFormat="1" x14ac:dyDescent="0.25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AJ98" s="142"/>
      <c r="AK98" s="142"/>
      <c r="AL98" s="136"/>
      <c r="AM98" s="136"/>
      <c r="AN98" s="136"/>
    </row>
    <row r="99" spans="1:40" s="95" customFormat="1" x14ac:dyDescent="0.25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AJ99" s="142"/>
      <c r="AK99" s="142"/>
      <c r="AL99" s="136"/>
      <c r="AM99" s="136"/>
      <c r="AN99" s="136"/>
    </row>
    <row r="100" spans="1:40" s="95" customFormat="1" x14ac:dyDescent="0.25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AJ100" s="142"/>
      <c r="AK100" s="142"/>
      <c r="AL100" s="136"/>
      <c r="AM100" s="136"/>
      <c r="AN100" s="136"/>
    </row>
    <row r="101" spans="1:40" s="95" customFormat="1" x14ac:dyDescent="0.25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AJ101" s="142"/>
      <c r="AK101" s="142"/>
      <c r="AL101" s="136"/>
      <c r="AM101" s="136"/>
      <c r="AN101" s="136"/>
    </row>
    <row r="102" spans="1:40" s="95" customFormat="1" x14ac:dyDescent="0.25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AJ102" s="142"/>
      <c r="AK102" s="142"/>
      <c r="AL102" s="136"/>
      <c r="AM102" s="136"/>
      <c r="AN102" s="136"/>
    </row>
    <row r="103" spans="1:40" s="95" customFormat="1" x14ac:dyDescent="0.25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AJ103" s="142"/>
      <c r="AK103" s="142"/>
      <c r="AL103" s="136"/>
      <c r="AM103" s="136"/>
      <c r="AN103" s="136"/>
    </row>
    <row r="104" spans="1:40" s="95" customFormat="1" x14ac:dyDescent="0.25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AJ104" s="142"/>
      <c r="AK104" s="142"/>
      <c r="AL104" s="136"/>
      <c r="AM104" s="136"/>
      <c r="AN104" s="136"/>
    </row>
    <row r="105" spans="1:40" s="95" customFormat="1" x14ac:dyDescent="0.25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AJ105" s="142"/>
      <c r="AK105" s="142"/>
      <c r="AL105" s="136"/>
      <c r="AM105" s="136"/>
      <c r="AN105" s="136"/>
    </row>
    <row r="106" spans="1:40" s="95" customFormat="1" x14ac:dyDescent="0.25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AJ106" s="142"/>
      <c r="AK106" s="142"/>
      <c r="AL106" s="136"/>
      <c r="AM106" s="136"/>
      <c r="AN106" s="136"/>
    </row>
    <row r="107" spans="1:40" s="95" customFormat="1" x14ac:dyDescent="0.25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AJ107" s="142"/>
      <c r="AK107" s="142"/>
      <c r="AL107" s="136"/>
      <c r="AM107" s="136"/>
      <c r="AN107" s="136"/>
    </row>
    <row r="108" spans="1:40" s="95" customFormat="1" x14ac:dyDescent="0.25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AJ108" s="142"/>
      <c r="AK108" s="142"/>
      <c r="AL108" s="136"/>
      <c r="AM108" s="136"/>
      <c r="AN108" s="136"/>
    </row>
    <row r="109" spans="1:40" s="95" customFormat="1" x14ac:dyDescent="0.25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AJ109" s="142"/>
      <c r="AK109" s="142"/>
      <c r="AL109" s="136"/>
      <c r="AM109" s="136"/>
      <c r="AN109" s="136"/>
    </row>
    <row r="110" spans="1:40" s="95" customFormat="1" x14ac:dyDescent="0.25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AJ110" s="142"/>
      <c r="AK110" s="142"/>
      <c r="AL110" s="136"/>
      <c r="AM110" s="136"/>
      <c r="AN110" s="136"/>
    </row>
    <row r="111" spans="1:40" s="95" customFormat="1" x14ac:dyDescent="0.25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AJ111" s="142"/>
      <c r="AK111" s="142"/>
      <c r="AL111" s="136"/>
      <c r="AM111" s="136"/>
      <c r="AN111" s="136"/>
    </row>
    <row r="112" spans="1:40" s="95" customFormat="1" x14ac:dyDescent="0.25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AJ112" s="142"/>
      <c r="AK112" s="142"/>
      <c r="AL112" s="136"/>
      <c r="AM112" s="136"/>
      <c r="AN112" s="136"/>
    </row>
    <row r="113" spans="1:40" s="95" customFormat="1" x14ac:dyDescent="0.25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AJ113" s="142"/>
      <c r="AK113" s="142"/>
      <c r="AL113" s="136"/>
      <c r="AM113" s="136"/>
      <c r="AN113" s="136"/>
    </row>
    <row r="114" spans="1:40" s="95" customFormat="1" x14ac:dyDescent="0.25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AJ114" s="142"/>
      <c r="AK114" s="142"/>
      <c r="AL114" s="136"/>
      <c r="AM114" s="136"/>
      <c r="AN114" s="136"/>
    </row>
    <row r="115" spans="1:40" s="95" customFormat="1" x14ac:dyDescent="0.25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AJ115" s="142"/>
      <c r="AK115" s="142"/>
      <c r="AL115" s="136"/>
      <c r="AM115" s="136"/>
      <c r="AN115" s="136"/>
    </row>
    <row r="116" spans="1:40" s="95" customFormat="1" x14ac:dyDescent="0.25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AJ116" s="142"/>
      <c r="AK116" s="142"/>
      <c r="AL116" s="136"/>
      <c r="AM116" s="136"/>
      <c r="AN116" s="136"/>
    </row>
    <row r="117" spans="1:40" s="95" customFormat="1" x14ac:dyDescent="0.25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AJ117" s="142"/>
      <c r="AK117" s="142"/>
      <c r="AL117" s="136"/>
      <c r="AM117" s="136"/>
      <c r="AN117" s="136"/>
    </row>
    <row r="118" spans="1:40" s="95" customFormat="1" x14ac:dyDescent="0.25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AJ118" s="142"/>
      <c r="AK118" s="142"/>
      <c r="AL118" s="136"/>
      <c r="AM118" s="136"/>
      <c r="AN118" s="136"/>
    </row>
    <row r="119" spans="1:40" s="95" customFormat="1" x14ac:dyDescent="0.25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AJ119" s="142"/>
      <c r="AK119" s="142"/>
      <c r="AL119" s="136"/>
      <c r="AM119" s="136"/>
      <c r="AN119" s="136"/>
    </row>
    <row r="120" spans="1:40" s="95" customFormat="1" x14ac:dyDescent="0.25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AJ120" s="142"/>
      <c r="AK120" s="142"/>
      <c r="AL120" s="136"/>
      <c r="AM120" s="136"/>
      <c r="AN120" s="136"/>
    </row>
    <row r="121" spans="1:40" s="95" customFormat="1" x14ac:dyDescent="0.25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AJ121" s="142"/>
      <c r="AK121" s="142"/>
      <c r="AL121" s="136"/>
      <c r="AM121" s="136"/>
      <c r="AN121" s="136"/>
    </row>
    <row r="122" spans="1:40" s="95" customFormat="1" x14ac:dyDescent="0.25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AJ122" s="142"/>
      <c r="AK122" s="142"/>
      <c r="AL122" s="136"/>
      <c r="AM122" s="136"/>
      <c r="AN122" s="136"/>
    </row>
    <row r="123" spans="1:40" s="95" customFormat="1" x14ac:dyDescent="0.25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AJ123" s="142"/>
      <c r="AK123" s="142"/>
      <c r="AL123" s="136"/>
      <c r="AM123" s="136"/>
      <c r="AN123" s="136"/>
    </row>
    <row r="124" spans="1:40" s="95" customFormat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AJ124" s="142"/>
      <c r="AK124" s="142"/>
      <c r="AL124" s="136"/>
      <c r="AM124" s="136"/>
      <c r="AN124" s="136"/>
    </row>
    <row r="125" spans="1:40" s="95" customFormat="1" x14ac:dyDescent="0.25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AJ125" s="142"/>
      <c r="AK125" s="142"/>
      <c r="AL125" s="136"/>
      <c r="AM125" s="136"/>
      <c r="AN125" s="136"/>
    </row>
    <row r="126" spans="1:40" s="95" customFormat="1" x14ac:dyDescent="0.25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AJ126" s="142"/>
      <c r="AK126" s="142"/>
      <c r="AL126" s="136"/>
      <c r="AM126" s="136"/>
      <c r="AN126" s="136"/>
    </row>
    <row r="127" spans="1:40" s="95" customFormat="1" x14ac:dyDescent="0.25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AJ127" s="142"/>
      <c r="AK127" s="142"/>
      <c r="AL127" s="136"/>
      <c r="AM127" s="136"/>
      <c r="AN127" s="136"/>
    </row>
    <row r="128" spans="1:40" s="95" customFormat="1" x14ac:dyDescent="0.25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AJ128" s="142"/>
      <c r="AK128" s="142"/>
      <c r="AL128" s="136"/>
      <c r="AM128" s="136"/>
      <c r="AN128" s="136"/>
    </row>
    <row r="129" spans="1:40" s="95" customFormat="1" x14ac:dyDescent="0.25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AJ129" s="142"/>
      <c r="AK129" s="142"/>
      <c r="AL129" s="136"/>
      <c r="AM129" s="136"/>
      <c r="AN129" s="136"/>
    </row>
    <row r="130" spans="1:40" s="95" customFormat="1" x14ac:dyDescent="0.25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AJ130" s="142"/>
      <c r="AK130" s="142"/>
      <c r="AL130" s="136"/>
      <c r="AM130" s="136"/>
      <c r="AN130" s="136"/>
    </row>
    <row r="131" spans="1:40" s="95" customFormat="1" x14ac:dyDescent="0.25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AJ131" s="142"/>
      <c r="AK131" s="142"/>
      <c r="AL131" s="136"/>
      <c r="AM131" s="136"/>
      <c r="AN131" s="136"/>
    </row>
    <row r="132" spans="1:40" s="95" customFormat="1" x14ac:dyDescent="0.25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AJ132" s="142"/>
      <c r="AK132" s="142"/>
      <c r="AL132" s="136"/>
      <c r="AM132" s="136"/>
      <c r="AN132" s="136"/>
    </row>
    <row r="133" spans="1:40" s="95" customFormat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AJ133" s="142"/>
      <c r="AK133" s="142"/>
      <c r="AL133" s="136"/>
      <c r="AM133" s="136"/>
      <c r="AN133" s="136"/>
    </row>
    <row r="134" spans="1:40" s="95" customFormat="1" x14ac:dyDescent="0.25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AJ134" s="142"/>
      <c r="AK134" s="142"/>
      <c r="AL134" s="136"/>
      <c r="AM134" s="136"/>
      <c r="AN134" s="136"/>
    </row>
    <row r="135" spans="1:40" s="95" customFormat="1" x14ac:dyDescent="0.25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AJ135" s="142"/>
      <c r="AK135" s="142"/>
      <c r="AL135" s="136"/>
      <c r="AM135" s="136"/>
      <c r="AN135" s="136"/>
    </row>
    <row r="136" spans="1:40" s="95" customFormat="1" x14ac:dyDescent="0.25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AJ136" s="142"/>
      <c r="AK136" s="142"/>
      <c r="AL136" s="136"/>
      <c r="AM136" s="136"/>
      <c r="AN136" s="136"/>
    </row>
    <row r="137" spans="1:40" s="95" customFormat="1" x14ac:dyDescent="0.25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AJ137" s="142"/>
      <c r="AK137" s="142"/>
      <c r="AL137" s="136"/>
      <c r="AM137" s="136"/>
      <c r="AN137" s="136"/>
    </row>
    <row r="138" spans="1:40" s="95" customFormat="1" x14ac:dyDescent="0.25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AJ138" s="142"/>
      <c r="AK138" s="142"/>
      <c r="AL138" s="136"/>
      <c r="AM138" s="136"/>
      <c r="AN138" s="136"/>
    </row>
    <row r="139" spans="1:40" s="95" customFormat="1" x14ac:dyDescent="0.25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AJ139" s="142"/>
      <c r="AK139" s="142"/>
      <c r="AL139" s="136"/>
      <c r="AM139" s="136"/>
      <c r="AN139" s="136"/>
    </row>
    <row r="140" spans="1:40" s="95" customFormat="1" x14ac:dyDescent="0.25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AJ140" s="142"/>
      <c r="AK140" s="142"/>
      <c r="AL140" s="136"/>
      <c r="AM140" s="136"/>
      <c r="AN140" s="136"/>
    </row>
    <row r="141" spans="1:40" s="95" customFormat="1" x14ac:dyDescent="0.25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AJ141" s="142"/>
      <c r="AK141" s="142"/>
      <c r="AL141" s="136"/>
      <c r="AM141" s="136"/>
      <c r="AN141" s="136"/>
    </row>
    <row r="142" spans="1:40" s="95" customFormat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AJ142" s="142"/>
      <c r="AK142" s="142"/>
      <c r="AL142" s="136"/>
      <c r="AM142" s="136"/>
      <c r="AN142" s="136"/>
    </row>
    <row r="143" spans="1:40" s="95" customFormat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AJ143" s="142"/>
      <c r="AK143" s="142"/>
      <c r="AL143" s="136"/>
      <c r="AM143" s="136"/>
      <c r="AN143" s="136"/>
    </row>
    <row r="144" spans="1:40" s="95" customFormat="1" x14ac:dyDescent="0.25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AJ144" s="142"/>
      <c r="AK144" s="142"/>
      <c r="AL144" s="136"/>
      <c r="AM144" s="136"/>
      <c r="AN144" s="136"/>
    </row>
    <row r="145" spans="1:40" s="95" customFormat="1" x14ac:dyDescent="0.25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AJ145" s="142"/>
      <c r="AK145" s="142"/>
      <c r="AL145" s="136"/>
      <c r="AM145" s="136"/>
      <c r="AN145" s="136"/>
    </row>
    <row r="146" spans="1:40" s="95" customFormat="1" x14ac:dyDescent="0.25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AJ146" s="142"/>
      <c r="AK146" s="142"/>
      <c r="AL146" s="136"/>
      <c r="AM146" s="136"/>
      <c r="AN146" s="136"/>
    </row>
    <row r="147" spans="1:40" s="95" customFormat="1" x14ac:dyDescent="0.25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AJ147" s="142"/>
      <c r="AK147" s="142"/>
      <c r="AL147" s="136"/>
      <c r="AM147" s="136"/>
      <c r="AN147" s="136"/>
    </row>
    <row r="148" spans="1:40" s="95" customFormat="1" x14ac:dyDescent="0.25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AJ148" s="142"/>
      <c r="AK148" s="142"/>
      <c r="AL148" s="136"/>
      <c r="AM148" s="136"/>
      <c r="AN148" s="136"/>
    </row>
    <row r="149" spans="1:40" s="95" customFormat="1" x14ac:dyDescent="0.25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AJ149" s="142"/>
      <c r="AK149" s="142"/>
      <c r="AL149" s="136"/>
      <c r="AM149" s="136"/>
      <c r="AN149" s="136"/>
    </row>
    <row r="150" spans="1:40" s="95" customFormat="1" x14ac:dyDescent="0.25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AJ150" s="142"/>
      <c r="AK150" s="142"/>
      <c r="AL150" s="136"/>
      <c r="AM150" s="136"/>
      <c r="AN150" s="136"/>
    </row>
    <row r="151" spans="1:40" s="95" customFormat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AJ151" s="142"/>
      <c r="AK151" s="142"/>
      <c r="AL151" s="136"/>
      <c r="AM151" s="136"/>
      <c r="AN151" s="136"/>
    </row>
    <row r="152" spans="1:40" s="95" customFormat="1" x14ac:dyDescent="0.25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AJ152" s="142"/>
      <c r="AK152" s="142"/>
      <c r="AL152" s="136"/>
      <c r="AM152" s="136"/>
      <c r="AN152" s="136"/>
    </row>
    <row r="153" spans="1:40" s="95" customFormat="1" x14ac:dyDescent="0.25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AJ153" s="142"/>
      <c r="AK153" s="142"/>
      <c r="AL153" s="136"/>
      <c r="AM153" s="136"/>
      <c r="AN153" s="136"/>
    </row>
    <row r="154" spans="1:40" s="95" customFormat="1" x14ac:dyDescent="0.2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AJ154" s="142"/>
      <c r="AK154" s="142"/>
      <c r="AL154" s="136"/>
      <c r="AM154" s="136"/>
      <c r="AN154" s="136"/>
    </row>
    <row r="155" spans="1:40" s="95" customFormat="1" x14ac:dyDescent="0.25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AJ155" s="142"/>
      <c r="AK155" s="142"/>
      <c r="AL155" s="136"/>
      <c r="AM155" s="136"/>
      <c r="AN155" s="136"/>
    </row>
    <row r="156" spans="1:40" s="95" customFormat="1" x14ac:dyDescent="0.25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AJ156" s="142"/>
      <c r="AK156" s="142"/>
      <c r="AL156" s="136"/>
      <c r="AM156" s="136"/>
      <c r="AN156" s="136"/>
    </row>
    <row r="157" spans="1:40" s="95" customFormat="1" x14ac:dyDescent="0.25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AJ157" s="142"/>
      <c r="AK157" s="142"/>
      <c r="AL157" s="136"/>
      <c r="AM157" s="136"/>
      <c r="AN157" s="136"/>
    </row>
    <row r="158" spans="1:40" s="95" customFormat="1" x14ac:dyDescent="0.25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AJ158" s="142"/>
      <c r="AK158" s="142"/>
      <c r="AL158" s="136"/>
      <c r="AM158" s="136"/>
      <c r="AN158" s="136"/>
    </row>
    <row r="159" spans="1:40" s="95" customFormat="1" x14ac:dyDescent="0.25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AJ159" s="142"/>
      <c r="AK159" s="142"/>
      <c r="AL159" s="136"/>
      <c r="AM159" s="136"/>
      <c r="AN159" s="136"/>
    </row>
    <row r="160" spans="1:40" s="95" customFormat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AJ160" s="142"/>
      <c r="AK160" s="142"/>
      <c r="AL160" s="136"/>
      <c r="AM160" s="136"/>
      <c r="AN160" s="136"/>
    </row>
    <row r="161" spans="1:40" s="95" customFormat="1" x14ac:dyDescent="0.25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AJ161" s="142"/>
      <c r="AK161" s="142"/>
      <c r="AL161" s="136"/>
      <c r="AM161" s="136"/>
      <c r="AN161" s="136"/>
    </row>
    <row r="162" spans="1:40" s="95" customFormat="1" x14ac:dyDescent="0.25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AJ162" s="142"/>
      <c r="AK162" s="142"/>
      <c r="AL162" s="136"/>
      <c r="AM162" s="136"/>
      <c r="AN162" s="136"/>
    </row>
    <row r="163" spans="1:40" s="95" customFormat="1" x14ac:dyDescent="0.25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AJ163" s="142"/>
      <c r="AK163" s="142"/>
      <c r="AL163" s="136"/>
      <c r="AM163" s="136"/>
      <c r="AN163" s="136"/>
    </row>
    <row r="164" spans="1:40" s="95" customFormat="1" x14ac:dyDescent="0.25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AJ164" s="142"/>
      <c r="AK164" s="142"/>
      <c r="AL164" s="136"/>
      <c r="AM164" s="136"/>
      <c r="AN164" s="136"/>
    </row>
    <row r="165" spans="1:40" s="95" customFormat="1" x14ac:dyDescent="0.25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AJ165" s="142"/>
      <c r="AK165" s="142"/>
      <c r="AL165" s="136"/>
      <c r="AM165" s="136"/>
      <c r="AN165" s="136"/>
    </row>
    <row r="166" spans="1:40" s="95" customFormat="1" x14ac:dyDescent="0.25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AJ166" s="142"/>
      <c r="AK166" s="142"/>
      <c r="AL166" s="136"/>
      <c r="AM166" s="136"/>
      <c r="AN166" s="136"/>
    </row>
    <row r="167" spans="1:40" s="95" customFormat="1" x14ac:dyDescent="0.25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AJ167" s="142"/>
      <c r="AK167" s="142"/>
      <c r="AL167" s="136"/>
      <c r="AM167" s="136"/>
      <c r="AN167" s="136"/>
    </row>
    <row r="168" spans="1:40" s="95" customFormat="1" x14ac:dyDescent="0.25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AJ168" s="142"/>
      <c r="AK168" s="142"/>
      <c r="AL168" s="136"/>
      <c r="AM168" s="136"/>
      <c r="AN168" s="136"/>
    </row>
    <row r="169" spans="1:40" s="95" customFormat="1" x14ac:dyDescent="0.25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AJ169" s="142"/>
      <c r="AK169" s="142"/>
      <c r="AL169" s="136"/>
      <c r="AM169" s="136"/>
      <c r="AN169" s="136"/>
    </row>
    <row r="170" spans="1:40" s="95" customFormat="1" x14ac:dyDescent="0.25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AJ170" s="142"/>
      <c r="AK170" s="142"/>
      <c r="AL170" s="136"/>
      <c r="AM170" s="136"/>
      <c r="AN170" s="136"/>
    </row>
    <row r="171" spans="1:40" s="95" customFormat="1" x14ac:dyDescent="0.25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AJ171" s="142"/>
      <c r="AK171" s="142"/>
      <c r="AL171" s="136"/>
      <c r="AM171" s="136"/>
      <c r="AN171" s="136"/>
    </row>
    <row r="172" spans="1:40" s="95" customFormat="1" x14ac:dyDescent="0.25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AJ172" s="142"/>
      <c r="AK172" s="142"/>
      <c r="AL172" s="136"/>
      <c r="AM172" s="136"/>
      <c r="AN172" s="136"/>
    </row>
    <row r="173" spans="1:40" s="95" customFormat="1" x14ac:dyDescent="0.25">
      <c r="A173" s="141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AJ173" s="142"/>
      <c r="AK173" s="142"/>
      <c r="AL173" s="136"/>
      <c r="AM173" s="136"/>
      <c r="AN173" s="136"/>
    </row>
    <row r="174" spans="1:40" s="95" customFormat="1" x14ac:dyDescent="0.25">
      <c r="A174" s="141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AJ174" s="142"/>
      <c r="AK174" s="142"/>
      <c r="AL174" s="136"/>
      <c r="AM174" s="136"/>
      <c r="AN174" s="136"/>
    </row>
    <row r="175" spans="1:40" s="95" customFormat="1" x14ac:dyDescent="0.25">
      <c r="A175" s="141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AJ175" s="142"/>
      <c r="AK175" s="142"/>
      <c r="AL175" s="136"/>
      <c r="AM175" s="136"/>
      <c r="AN175" s="136"/>
    </row>
    <row r="176" spans="1:40" s="95" customFormat="1" x14ac:dyDescent="0.25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AJ176" s="142"/>
      <c r="AK176" s="142"/>
      <c r="AL176" s="136"/>
      <c r="AM176" s="136"/>
      <c r="AN176" s="136"/>
    </row>
    <row r="177" spans="1:40" s="95" customFormat="1" x14ac:dyDescent="0.25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AJ177" s="142"/>
      <c r="AK177" s="142"/>
      <c r="AL177" s="136"/>
      <c r="AM177" s="136"/>
      <c r="AN177" s="136"/>
    </row>
    <row r="178" spans="1:40" s="95" customFormat="1" x14ac:dyDescent="0.25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AJ178" s="142"/>
      <c r="AK178" s="142"/>
      <c r="AL178" s="136"/>
      <c r="AM178" s="136"/>
      <c r="AN178" s="136"/>
    </row>
    <row r="179" spans="1:40" s="95" customFormat="1" x14ac:dyDescent="0.25">
      <c r="A179" s="141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AJ179" s="142"/>
      <c r="AK179" s="142"/>
      <c r="AL179" s="136"/>
      <c r="AM179" s="136"/>
      <c r="AN179" s="136"/>
    </row>
    <row r="180" spans="1:40" s="95" customFormat="1" x14ac:dyDescent="0.25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AJ180" s="142"/>
      <c r="AK180" s="142"/>
      <c r="AL180" s="136"/>
      <c r="AM180" s="136"/>
      <c r="AN180" s="136"/>
    </row>
    <row r="181" spans="1:40" s="95" customFormat="1" x14ac:dyDescent="0.25">
      <c r="A181" s="141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AJ181" s="142"/>
      <c r="AK181" s="142"/>
      <c r="AL181" s="136"/>
      <c r="AM181" s="136"/>
      <c r="AN181" s="136"/>
    </row>
    <row r="182" spans="1:40" s="95" customFormat="1" x14ac:dyDescent="0.25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AJ182" s="142"/>
      <c r="AK182" s="142"/>
      <c r="AL182" s="136"/>
      <c r="AM182" s="136"/>
      <c r="AN182" s="136"/>
    </row>
    <row r="183" spans="1:40" s="95" customFormat="1" x14ac:dyDescent="0.25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AJ183" s="142"/>
      <c r="AK183" s="142"/>
      <c r="AL183" s="136"/>
      <c r="AM183" s="136"/>
      <c r="AN183" s="136"/>
    </row>
    <row r="184" spans="1:40" s="95" customFormat="1" x14ac:dyDescent="0.25">
      <c r="A184" s="141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AJ184" s="142"/>
      <c r="AK184" s="142"/>
      <c r="AL184" s="136"/>
      <c r="AM184" s="136"/>
      <c r="AN184" s="136"/>
    </row>
    <row r="185" spans="1:40" s="95" customFormat="1" x14ac:dyDescent="0.25">
      <c r="A185" s="141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AJ185" s="142"/>
      <c r="AK185" s="142"/>
      <c r="AL185" s="136"/>
      <c r="AM185" s="136"/>
      <c r="AN185" s="136"/>
    </row>
    <row r="186" spans="1:40" s="95" customFormat="1" x14ac:dyDescent="0.25">
      <c r="A186" s="141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AJ186" s="142"/>
      <c r="AK186" s="142"/>
      <c r="AL186" s="136"/>
      <c r="AM186" s="136"/>
      <c r="AN186" s="136"/>
    </row>
    <row r="187" spans="1:40" s="95" customFormat="1" x14ac:dyDescent="0.25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AJ187" s="142"/>
      <c r="AK187" s="142"/>
      <c r="AL187" s="136"/>
      <c r="AM187" s="136"/>
      <c r="AN187" s="136"/>
    </row>
    <row r="188" spans="1:40" s="95" customFormat="1" x14ac:dyDescent="0.25">
      <c r="A188" s="141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AJ188" s="142"/>
      <c r="AK188" s="142"/>
      <c r="AL188" s="136"/>
      <c r="AM188" s="136"/>
      <c r="AN188" s="136"/>
    </row>
    <row r="189" spans="1:40" s="95" customFormat="1" x14ac:dyDescent="0.25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AJ189" s="142"/>
      <c r="AK189" s="142"/>
      <c r="AL189" s="136"/>
      <c r="AM189" s="136"/>
      <c r="AN189" s="136"/>
    </row>
    <row r="190" spans="1:40" s="95" customFormat="1" x14ac:dyDescent="0.25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AJ190" s="142"/>
      <c r="AK190" s="142"/>
      <c r="AL190" s="136"/>
      <c r="AM190" s="136"/>
      <c r="AN190" s="136"/>
    </row>
    <row r="191" spans="1:40" s="95" customFormat="1" x14ac:dyDescent="0.25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AJ191" s="142"/>
      <c r="AK191" s="142"/>
      <c r="AL191" s="136"/>
      <c r="AM191" s="136"/>
      <c r="AN191" s="136"/>
    </row>
    <row r="192" spans="1:40" s="95" customFormat="1" x14ac:dyDescent="0.25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AJ192" s="142"/>
      <c r="AK192" s="142"/>
      <c r="AL192" s="136"/>
      <c r="AM192" s="136"/>
      <c r="AN192" s="136"/>
    </row>
    <row r="193" spans="1:40" s="95" customFormat="1" x14ac:dyDescent="0.25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AJ193" s="142"/>
      <c r="AK193" s="142"/>
      <c r="AL193" s="136"/>
      <c r="AM193" s="136"/>
      <c r="AN193" s="136"/>
    </row>
    <row r="194" spans="1:40" s="95" customForma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AJ194" s="142"/>
      <c r="AK194" s="142"/>
      <c r="AL194" s="136"/>
      <c r="AM194" s="136"/>
      <c r="AN194" s="136"/>
    </row>
    <row r="195" spans="1:40" s="95" customForma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AJ195" s="142"/>
      <c r="AK195" s="142"/>
      <c r="AL195" s="136"/>
      <c r="AM195" s="136"/>
      <c r="AN195" s="136"/>
    </row>
    <row r="196" spans="1:40" s="95" customForma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AJ196" s="142"/>
      <c r="AK196" s="142"/>
      <c r="AL196" s="136"/>
      <c r="AM196" s="136"/>
      <c r="AN196" s="136"/>
    </row>
    <row r="197" spans="1:40" s="95" customForma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AJ197" s="142"/>
      <c r="AK197" s="142"/>
      <c r="AL197" s="136"/>
      <c r="AM197" s="136"/>
      <c r="AN197" s="136"/>
    </row>
    <row r="198" spans="1:40" s="95" customForma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AJ198" s="142"/>
      <c r="AK198" s="142"/>
      <c r="AL198" s="136"/>
      <c r="AM198" s="136"/>
      <c r="AN198" s="136"/>
    </row>
    <row r="199" spans="1:40" s="95" customForma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AJ199" s="142"/>
      <c r="AK199" s="142"/>
      <c r="AL199" s="136"/>
      <c r="AM199" s="136"/>
      <c r="AN199" s="136"/>
    </row>
    <row r="200" spans="1:40" s="95" customForma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AJ200" s="142"/>
      <c r="AK200" s="142"/>
      <c r="AL200" s="136"/>
      <c r="AM200" s="136"/>
      <c r="AN200" s="136"/>
    </row>
    <row r="201" spans="1:40" s="95" customForma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AJ201" s="142"/>
      <c r="AK201" s="142"/>
      <c r="AL201" s="136"/>
      <c r="AM201" s="136"/>
      <c r="AN201" s="136"/>
    </row>
    <row r="202" spans="1:40" s="95" customForma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AJ202" s="142"/>
      <c r="AK202" s="142"/>
      <c r="AL202" s="136"/>
      <c r="AM202" s="136"/>
      <c r="AN202" s="136"/>
    </row>
    <row r="203" spans="1:40" s="95" customForma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AJ203" s="142"/>
      <c r="AK203" s="142"/>
      <c r="AL203" s="136"/>
      <c r="AM203" s="136"/>
      <c r="AN203" s="136"/>
    </row>
    <row r="204" spans="1:40" s="95" customForma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AJ204" s="142"/>
      <c r="AK204" s="142"/>
      <c r="AL204" s="136"/>
      <c r="AM204" s="136"/>
      <c r="AN204" s="136"/>
    </row>
    <row r="205" spans="1:40" s="95" customForma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AJ205" s="142"/>
      <c r="AK205" s="142"/>
      <c r="AL205" s="136"/>
      <c r="AM205" s="136"/>
      <c r="AN205" s="136"/>
    </row>
    <row r="206" spans="1:40" s="95" customForma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AJ206" s="142"/>
      <c r="AK206" s="142"/>
      <c r="AL206" s="136"/>
      <c r="AM206" s="136"/>
      <c r="AN206" s="136"/>
    </row>
    <row r="207" spans="1:40" s="95" customForma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AJ207" s="142"/>
      <c r="AK207" s="142"/>
      <c r="AL207" s="136"/>
      <c r="AM207" s="136"/>
      <c r="AN207" s="136"/>
    </row>
    <row r="208" spans="1:40" s="95" customForma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AJ208" s="142"/>
      <c r="AK208" s="142"/>
      <c r="AL208" s="136"/>
      <c r="AM208" s="136"/>
      <c r="AN208" s="136"/>
    </row>
    <row r="209" spans="1:40" s="95" customForma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AJ209" s="142"/>
      <c r="AK209" s="142"/>
      <c r="AL209" s="136"/>
      <c r="AM209" s="136"/>
      <c r="AN209" s="136"/>
    </row>
    <row r="210" spans="1:40" s="95" customForma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AJ210" s="142"/>
      <c r="AK210" s="142"/>
      <c r="AL210" s="136"/>
      <c r="AM210" s="136"/>
      <c r="AN210" s="136"/>
    </row>
    <row r="211" spans="1:40" s="95" customForma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AJ211" s="142"/>
      <c r="AK211" s="142"/>
      <c r="AL211" s="136"/>
      <c r="AM211" s="136"/>
      <c r="AN211" s="136"/>
    </row>
    <row r="212" spans="1:40" s="95" customForma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AJ212" s="142"/>
      <c r="AK212" s="142"/>
      <c r="AL212" s="136"/>
      <c r="AM212" s="136"/>
      <c r="AN212" s="136"/>
    </row>
    <row r="213" spans="1:40" s="95" customForma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AJ213" s="142"/>
      <c r="AK213" s="142"/>
      <c r="AL213" s="136"/>
      <c r="AM213" s="136"/>
      <c r="AN213" s="136"/>
    </row>
    <row r="214" spans="1:40" s="95" customForma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AJ214" s="142"/>
      <c r="AK214" s="142"/>
      <c r="AL214" s="136"/>
      <c r="AM214" s="136"/>
      <c r="AN214" s="136"/>
    </row>
    <row r="215" spans="1:40" s="95" customForma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AJ215" s="142"/>
      <c r="AK215" s="142"/>
      <c r="AL215" s="136"/>
      <c r="AM215" s="136"/>
      <c r="AN215" s="136"/>
    </row>
    <row r="216" spans="1:40" s="95" customForma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AJ216" s="142"/>
      <c r="AK216" s="142"/>
      <c r="AL216" s="136"/>
      <c r="AM216" s="136"/>
      <c r="AN216" s="136"/>
    </row>
    <row r="217" spans="1:40" s="95" customForma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AJ217" s="142"/>
      <c r="AK217" s="142"/>
      <c r="AL217" s="136"/>
      <c r="AM217" s="136"/>
      <c r="AN217" s="136"/>
    </row>
    <row r="218" spans="1:40" s="95" customForma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AJ218" s="142"/>
      <c r="AK218" s="142"/>
      <c r="AL218" s="136"/>
      <c r="AM218" s="136"/>
      <c r="AN218" s="136"/>
    </row>
    <row r="219" spans="1:40" s="95" customForma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AJ219" s="142"/>
      <c r="AK219" s="142"/>
      <c r="AL219" s="136"/>
      <c r="AM219" s="136"/>
      <c r="AN219" s="136"/>
    </row>
    <row r="220" spans="1:40" s="95" customForma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AJ220" s="142"/>
      <c r="AK220" s="142"/>
      <c r="AL220" s="136"/>
      <c r="AM220" s="136"/>
      <c r="AN220" s="136"/>
    </row>
    <row r="221" spans="1:40" s="95" customForma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AJ221" s="142"/>
      <c r="AK221" s="142"/>
      <c r="AL221" s="136"/>
      <c r="AM221" s="136"/>
      <c r="AN221" s="136"/>
    </row>
    <row r="222" spans="1:40" s="95" customForma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AJ222" s="142"/>
      <c r="AK222" s="142"/>
      <c r="AL222" s="136"/>
      <c r="AM222" s="136"/>
      <c r="AN222" s="136"/>
    </row>
    <row r="223" spans="1:40" s="95" customForma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AJ223" s="142"/>
      <c r="AK223" s="142"/>
      <c r="AL223" s="136"/>
      <c r="AM223" s="136"/>
      <c r="AN223" s="136"/>
    </row>
    <row r="224" spans="1:40" s="95" customForma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AJ224" s="142"/>
      <c r="AK224" s="142"/>
      <c r="AL224" s="136"/>
      <c r="AM224" s="136"/>
      <c r="AN224" s="136"/>
    </row>
    <row r="225" spans="1:40" s="95" customForma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AJ225" s="142"/>
      <c r="AK225" s="142"/>
      <c r="AL225" s="136"/>
      <c r="AM225" s="136"/>
      <c r="AN225" s="136"/>
    </row>
    <row r="226" spans="1:40" s="95" customForma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AJ226" s="142"/>
      <c r="AK226" s="142"/>
      <c r="AL226" s="136"/>
      <c r="AM226" s="136"/>
      <c r="AN226" s="136"/>
    </row>
    <row r="227" spans="1:40" s="95" customForma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AJ227" s="142"/>
      <c r="AK227" s="142"/>
      <c r="AL227" s="136"/>
      <c r="AM227" s="136"/>
      <c r="AN227" s="136"/>
    </row>
    <row r="228" spans="1:40" s="95" customFormat="1" x14ac:dyDescent="0.25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AJ228" s="142"/>
      <c r="AK228" s="142"/>
      <c r="AL228" s="136"/>
      <c r="AM228" s="136"/>
      <c r="AN228" s="136"/>
    </row>
    <row r="229" spans="1:40" s="95" customFormat="1" x14ac:dyDescent="0.25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AJ229" s="142"/>
      <c r="AK229" s="142"/>
      <c r="AL229" s="136"/>
      <c r="AM229" s="136"/>
      <c r="AN229" s="136"/>
    </row>
    <row r="230" spans="1:40" s="95" customFormat="1" x14ac:dyDescent="0.25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AJ230" s="142"/>
      <c r="AK230" s="142"/>
      <c r="AL230" s="136"/>
      <c r="AM230" s="136"/>
      <c r="AN230" s="136"/>
    </row>
    <row r="231" spans="1:40" s="95" customFormat="1" x14ac:dyDescent="0.25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AJ231" s="142"/>
      <c r="AK231" s="142"/>
      <c r="AL231" s="136"/>
      <c r="AM231" s="136"/>
      <c r="AN231" s="136"/>
    </row>
    <row r="232" spans="1:40" s="95" customFormat="1" x14ac:dyDescent="0.25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AJ232" s="142"/>
      <c r="AK232" s="142"/>
      <c r="AL232" s="136"/>
      <c r="AM232" s="136"/>
      <c r="AN232" s="136"/>
    </row>
    <row r="233" spans="1:40" s="95" customFormat="1" x14ac:dyDescent="0.25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AJ233" s="142"/>
      <c r="AK233" s="142"/>
      <c r="AL233" s="136"/>
      <c r="AM233" s="136"/>
      <c r="AN233" s="136"/>
    </row>
    <row r="234" spans="1:40" s="95" customFormat="1" x14ac:dyDescent="0.25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AJ234" s="142"/>
      <c r="AK234" s="142"/>
      <c r="AL234" s="136"/>
      <c r="AM234" s="136"/>
      <c r="AN234" s="136"/>
    </row>
    <row r="235" spans="1:40" s="95" customFormat="1" x14ac:dyDescent="0.25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AJ235" s="142"/>
      <c r="AK235" s="142"/>
      <c r="AL235" s="136"/>
      <c r="AM235" s="136"/>
      <c r="AN235" s="136"/>
    </row>
    <row r="236" spans="1:40" s="95" customFormat="1" x14ac:dyDescent="0.25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AJ236" s="142"/>
      <c r="AK236" s="142"/>
      <c r="AL236" s="136"/>
      <c r="AM236" s="136"/>
      <c r="AN236" s="136"/>
    </row>
    <row r="237" spans="1:40" s="95" customFormat="1" x14ac:dyDescent="0.25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AJ237" s="142"/>
      <c r="AK237" s="142"/>
      <c r="AL237" s="136"/>
      <c r="AM237" s="136"/>
      <c r="AN237" s="136"/>
    </row>
    <row r="238" spans="1:40" s="95" customFormat="1" x14ac:dyDescent="0.25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AJ238" s="142"/>
      <c r="AK238" s="142"/>
      <c r="AL238" s="136"/>
      <c r="AM238" s="136"/>
      <c r="AN238" s="136"/>
    </row>
    <row r="239" spans="1:40" s="95" customFormat="1" x14ac:dyDescent="0.25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AJ239" s="142"/>
      <c r="AK239" s="142"/>
      <c r="AL239" s="136"/>
      <c r="AM239" s="136"/>
      <c r="AN239" s="136"/>
    </row>
    <row r="240" spans="1:40" s="95" customFormat="1" x14ac:dyDescent="0.25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AJ240" s="142"/>
      <c r="AK240" s="142"/>
      <c r="AL240" s="136"/>
      <c r="AM240" s="136"/>
      <c r="AN240" s="136"/>
    </row>
    <row r="241" spans="1:40" s="95" customFormat="1" x14ac:dyDescent="0.25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AJ241" s="142"/>
      <c r="AK241" s="142"/>
      <c r="AL241" s="136"/>
      <c r="AM241" s="136"/>
      <c r="AN241" s="136"/>
    </row>
    <row r="242" spans="1:40" s="95" customFormat="1" x14ac:dyDescent="0.25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AJ242" s="142"/>
      <c r="AK242" s="142"/>
      <c r="AL242" s="136"/>
      <c r="AM242" s="136"/>
      <c r="AN242" s="136"/>
    </row>
    <row r="243" spans="1:40" s="95" customFormat="1" x14ac:dyDescent="0.25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AJ243" s="142"/>
      <c r="AK243" s="142"/>
      <c r="AL243" s="136"/>
      <c r="AM243" s="136"/>
      <c r="AN243" s="136"/>
    </row>
    <row r="244" spans="1:40" s="95" customFormat="1" x14ac:dyDescent="0.25">
      <c r="A244" s="141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AJ244" s="142"/>
      <c r="AK244" s="142"/>
      <c r="AL244" s="136"/>
      <c r="AM244" s="136"/>
      <c r="AN244" s="136"/>
    </row>
    <row r="245" spans="1:40" s="95" customFormat="1" x14ac:dyDescent="0.25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AJ245" s="142"/>
      <c r="AK245" s="142"/>
      <c r="AL245" s="136"/>
      <c r="AM245" s="136"/>
      <c r="AN245" s="136"/>
    </row>
    <row r="246" spans="1:40" s="95" customFormat="1" x14ac:dyDescent="0.25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AJ246" s="142"/>
      <c r="AK246" s="142"/>
      <c r="AL246" s="136"/>
      <c r="AM246" s="136"/>
      <c r="AN246" s="136"/>
    </row>
    <row r="247" spans="1:40" s="95" customFormat="1" x14ac:dyDescent="0.25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AJ247" s="142"/>
      <c r="AK247" s="142"/>
      <c r="AL247" s="136"/>
      <c r="AM247" s="136"/>
      <c r="AN247" s="136"/>
    </row>
    <row r="248" spans="1:40" s="95" customFormat="1" x14ac:dyDescent="0.25">
      <c r="A248" s="141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AJ248" s="142"/>
      <c r="AK248" s="142"/>
      <c r="AL248" s="136"/>
      <c r="AM248" s="136"/>
      <c r="AN248" s="136"/>
    </row>
    <row r="249" spans="1:40" s="95" customFormat="1" x14ac:dyDescent="0.25">
      <c r="A249" s="141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AJ249" s="142"/>
      <c r="AK249" s="142"/>
      <c r="AL249" s="136"/>
      <c r="AM249" s="136"/>
      <c r="AN249" s="136"/>
    </row>
    <row r="250" spans="1:40" s="95" customFormat="1" x14ac:dyDescent="0.25">
      <c r="A250" s="141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AJ250" s="142"/>
      <c r="AK250" s="142"/>
      <c r="AL250" s="136"/>
      <c r="AM250" s="136"/>
      <c r="AN250" s="136"/>
    </row>
    <row r="251" spans="1:40" s="95" customFormat="1" x14ac:dyDescent="0.25">
      <c r="A251" s="141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AJ251" s="142"/>
      <c r="AK251" s="142"/>
      <c r="AL251" s="136"/>
      <c r="AM251" s="136"/>
      <c r="AN251" s="136"/>
    </row>
    <row r="252" spans="1:40" s="95" customFormat="1" x14ac:dyDescent="0.25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AJ252" s="142"/>
      <c r="AK252" s="142"/>
      <c r="AL252" s="136"/>
      <c r="AM252" s="136"/>
      <c r="AN252" s="136"/>
    </row>
    <row r="253" spans="1:40" s="95" customFormat="1" x14ac:dyDescent="0.25">
      <c r="A253" s="141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AJ253" s="142"/>
      <c r="AK253" s="142"/>
      <c r="AL253" s="136"/>
      <c r="AM253" s="136"/>
      <c r="AN253" s="136"/>
    </row>
    <row r="254" spans="1:40" s="95" customFormat="1" x14ac:dyDescent="0.25">
      <c r="A254" s="141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AJ254" s="142"/>
      <c r="AK254" s="142"/>
      <c r="AL254" s="136"/>
      <c r="AM254" s="136"/>
      <c r="AN254" s="136"/>
    </row>
    <row r="255" spans="1:40" s="95" customFormat="1" x14ac:dyDescent="0.25">
      <c r="A255" s="141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AJ255" s="142"/>
      <c r="AK255" s="142"/>
      <c r="AL255" s="136"/>
      <c r="AM255" s="136"/>
      <c r="AN255" s="136"/>
    </row>
    <row r="256" spans="1:40" s="95" customFormat="1" x14ac:dyDescent="0.25">
      <c r="A256" s="141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AJ256" s="142"/>
      <c r="AK256" s="142"/>
      <c r="AL256" s="136"/>
      <c r="AM256" s="136"/>
      <c r="AN256" s="136"/>
    </row>
    <row r="257" spans="1:40" s="95" customFormat="1" x14ac:dyDescent="0.25">
      <c r="A257" s="141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AJ257" s="142"/>
      <c r="AK257" s="142"/>
      <c r="AL257" s="136"/>
      <c r="AM257" s="136"/>
      <c r="AN257" s="136"/>
    </row>
    <row r="258" spans="1:40" s="95" customFormat="1" x14ac:dyDescent="0.25">
      <c r="A258" s="141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AJ258" s="142"/>
      <c r="AK258" s="142"/>
      <c r="AL258" s="136"/>
      <c r="AM258" s="136"/>
      <c r="AN258" s="136"/>
    </row>
    <row r="259" spans="1:40" s="95" customFormat="1" x14ac:dyDescent="0.25">
      <c r="A259" s="141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AJ259" s="142"/>
      <c r="AK259" s="142"/>
      <c r="AL259" s="136"/>
      <c r="AM259" s="136"/>
      <c r="AN259" s="136"/>
    </row>
    <row r="260" spans="1:40" s="95" customFormat="1" x14ac:dyDescent="0.25">
      <c r="A260" s="141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AJ260" s="142"/>
      <c r="AK260" s="142"/>
      <c r="AL260" s="136"/>
      <c r="AM260" s="136"/>
      <c r="AN260" s="136"/>
    </row>
    <row r="261" spans="1:40" s="95" customFormat="1" x14ac:dyDescent="0.25">
      <c r="A261" s="141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AJ261" s="142"/>
      <c r="AK261" s="142"/>
      <c r="AL261" s="136"/>
      <c r="AM261" s="136"/>
      <c r="AN261" s="136"/>
    </row>
    <row r="262" spans="1:40" s="95" customFormat="1" x14ac:dyDescent="0.25">
      <c r="A262" s="141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AJ262" s="142"/>
      <c r="AK262" s="142"/>
      <c r="AL262" s="136"/>
      <c r="AM262" s="136"/>
      <c r="AN262" s="136"/>
    </row>
    <row r="263" spans="1:40" s="95" customFormat="1" x14ac:dyDescent="0.25">
      <c r="A263" s="141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AJ263" s="142"/>
      <c r="AK263" s="142"/>
      <c r="AL263" s="136"/>
      <c r="AM263" s="136"/>
      <c r="AN263" s="136"/>
    </row>
    <row r="264" spans="1:40" s="95" customFormat="1" x14ac:dyDescent="0.25">
      <c r="A264" s="141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AJ264" s="142"/>
      <c r="AK264" s="142"/>
      <c r="AL264" s="136"/>
      <c r="AM264" s="136"/>
      <c r="AN264" s="136"/>
    </row>
    <row r="265" spans="1:40" s="95" customFormat="1" x14ac:dyDescent="0.25">
      <c r="A265" s="141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AJ265" s="142"/>
      <c r="AK265" s="142"/>
      <c r="AL265" s="136"/>
      <c r="AM265" s="136"/>
      <c r="AN265" s="136"/>
    </row>
    <row r="266" spans="1:40" s="95" customFormat="1" x14ac:dyDescent="0.25">
      <c r="A266" s="141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AJ266" s="142"/>
      <c r="AK266" s="142"/>
      <c r="AL266" s="136"/>
      <c r="AM266" s="136"/>
      <c r="AN266" s="136"/>
    </row>
    <row r="267" spans="1:40" s="95" customFormat="1" x14ac:dyDescent="0.25">
      <c r="A267" s="141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AJ267" s="142"/>
      <c r="AK267" s="142"/>
      <c r="AL267" s="136"/>
      <c r="AM267" s="136"/>
      <c r="AN267" s="136"/>
    </row>
    <row r="268" spans="1:40" s="95" customFormat="1" x14ac:dyDescent="0.25">
      <c r="A268" s="141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AJ268" s="142"/>
      <c r="AK268" s="142"/>
      <c r="AL268" s="136"/>
      <c r="AM268" s="136"/>
      <c r="AN268" s="136"/>
    </row>
    <row r="269" spans="1:40" s="95" customFormat="1" x14ac:dyDescent="0.25">
      <c r="A269" s="141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AJ269" s="142"/>
      <c r="AK269" s="142"/>
      <c r="AL269" s="136"/>
      <c r="AM269" s="136"/>
      <c r="AN269" s="136"/>
    </row>
    <row r="270" spans="1:40" s="95" customFormat="1" x14ac:dyDescent="0.25">
      <c r="A270" s="141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AJ270" s="142"/>
      <c r="AK270" s="142"/>
      <c r="AL270" s="136"/>
      <c r="AM270" s="136"/>
      <c r="AN270" s="136"/>
    </row>
    <row r="271" spans="1:40" s="95" customFormat="1" x14ac:dyDescent="0.25">
      <c r="A271" s="141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AJ271" s="142"/>
      <c r="AK271" s="142"/>
      <c r="AL271" s="136"/>
      <c r="AM271" s="136"/>
      <c r="AN271" s="136"/>
    </row>
    <row r="272" spans="1:40" s="95" customFormat="1" x14ac:dyDescent="0.25">
      <c r="A272" s="141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AJ272" s="142"/>
      <c r="AK272" s="142"/>
      <c r="AL272" s="136"/>
      <c r="AM272" s="136"/>
      <c r="AN272" s="136"/>
    </row>
    <row r="273" spans="1:40" s="95" customFormat="1" x14ac:dyDescent="0.25">
      <c r="A273" s="141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AJ273" s="142"/>
      <c r="AK273" s="142"/>
      <c r="AL273" s="136"/>
      <c r="AM273" s="136"/>
      <c r="AN273" s="136"/>
    </row>
    <row r="274" spans="1:40" s="95" customFormat="1" x14ac:dyDescent="0.25">
      <c r="A274" s="141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AJ274" s="142"/>
      <c r="AK274" s="142"/>
      <c r="AL274" s="136"/>
      <c r="AM274" s="136"/>
      <c r="AN274" s="136"/>
    </row>
    <row r="275" spans="1:40" s="95" customFormat="1" x14ac:dyDescent="0.25">
      <c r="A275" s="141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AJ275" s="142"/>
      <c r="AK275" s="142"/>
      <c r="AL275" s="136"/>
      <c r="AM275" s="136"/>
      <c r="AN275" s="136"/>
    </row>
    <row r="276" spans="1:40" s="95" customFormat="1" x14ac:dyDescent="0.25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AJ276" s="142"/>
      <c r="AK276" s="142"/>
      <c r="AL276" s="136"/>
      <c r="AM276" s="136"/>
      <c r="AN276" s="136"/>
    </row>
    <row r="277" spans="1:40" s="95" customFormat="1" x14ac:dyDescent="0.25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AJ277" s="142"/>
      <c r="AK277" s="142"/>
      <c r="AL277" s="136"/>
      <c r="AM277" s="136"/>
      <c r="AN277" s="136"/>
    </row>
    <row r="278" spans="1:40" s="95" customFormat="1" x14ac:dyDescent="0.25">
      <c r="A278" s="141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AJ278" s="142"/>
      <c r="AK278" s="142"/>
      <c r="AL278" s="136"/>
      <c r="AM278" s="136"/>
      <c r="AN278" s="136"/>
    </row>
    <row r="279" spans="1:40" s="95" customFormat="1" x14ac:dyDescent="0.25">
      <c r="A279" s="141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AJ279" s="142"/>
      <c r="AK279" s="142"/>
      <c r="AL279" s="136"/>
      <c r="AM279" s="136"/>
      <c r="AN279" s="136"/>
    </row>
    <row r="280" spans="1:40" s="95" customFormat="1" x14ac:dyDescent="0.25">
      <c r="A280" s="141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AJ280" s="142"/>
      <c r="AK280" s="142"/>
      <c r="AL280" s="136"/>
      <c r="AM280" s="136"/>
      <c r="AN280" s="136"/>
    </row>
    <row r="281" spans="1:40" s="95" customFormat="1" x14ac:dyDescent="0.25">
      <c r="A281" s="141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AJ281" s="142"/>
      <c r="AK281" s="142"/>
      <c r="AL281" s="136"/>
      <c r="AM281" s="136"/>
      <c r="AN281" s="136"/>
    </row>
    <row r="282" spans="1:40" s="95" customFormat="1" x14ac:dyDescent="0.25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AJ282" s="142"/>
      <c r="AK282" s="142"/>
      <c r="AL282" s="136"/>
      <c r="AM282" s="136"/>
      <c r="AN282" s="136"/>
    </row>
    <row r="283" spans="1:40" s="95" customFormat="1" x14ac:dyDescent="0.25">
      <c r="A283" s="141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AJ283" s="142"/>
      <c r="AK283" s="142"/>
      <c r="AL283" s="136"/>
      <c r="AM283" s="136"/>
      <c r="AN283" s="136"/>
    </row>
    <row r="284" spans="1:40" s="95" customFormat="1" x14ac:dyDescent="0.25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AJ284" s="142"/>
      <c r="AK284" s="142"/>
      <c r="AL284" s="136"/>
      <c r="AM284" s="136"/>
      <c r="AN284" s="136"/>
    </row>
    <row r="285" spans="1:40" s="95" customFormat="1" x14ac:dyDescent="0.25">
      <c r="A285" s="141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AJ285" s="142"/>
      <c r="AK285" s="142"/>
      <c r="AL285" s="136"/>
      <c r="AM285" s="136"/>
      <c r="AN285" s="136"/>
    </row>
    <row r="286" spans="1:40" s="95" customFormat="1" x14ac:dyDescent="0.25">
      <c r="A286" s="141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AJ286" s="142"/>
      <c r="AK286" s="142"/>
      <c r="AL286" s="136"/>
      <c r="AM286" s="136"/>
      <c r="AN286" s="136"/>
    </row>
    <row r="287" spans="1:40" s="95" customFormat="1" x14ac:dyDescent="0.25">
      <c r="A287" s="141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AJ287" s="142"/>
      <c r="AK287" s="142"/>
      <c r="AL287" s="136"/>
      <c r="AM287" s="136"/>
      <c r="AN287" s="136"/>
    </row>
    <row r="288" spans="1:40" s="95" customFormat="1" x14ac:dyDescent="0.25">
      <c r="A288" s="141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AJ288" s="142"/>
      <c r="AK288" s="142"/>
      <c r="AL288" s="136"/>
      <c r="AM288" s="136"/>
      <c r="AN288" s="136"/>
    </row>
    <row r="289" spans="1:40" s="95" customFormat="1" x14ac:dyDescent="0.25">
      <c r="A289" s="141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AJ289" s="142"/>
      <c r="AK289" s="142"/>
      <c r="AL289" s="136"/>
      <c r="AM289" s="136"/>
      <c r="AN289" s="136"/>
    </row>
    <row r="290" spans="1:40" s="95" customFormat="1" x14ac:dyDescent="0.25">
      <c r="A290" s="141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AJ290" s="142"/>
      <c r="AK290" s="142"/>
      <c r="AL290" s="136"/>
      <c r="AM290" s="136"/>
      <c r="AN290" s="136"/>
    </row>
    <row r="291" spans="1:40" s="95" customFormat="1" x14ac:dyDescent="0.25">
      <c r="A291" s="141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AJ291" s="142"/>
      <c r="AK291" s="142"/>
      <c r="AL291" s="136"/>
      <c r="AM291" s="136"/>
      <c r="AN291" s="136"/>
    </row>
    <row r="292" spans="1:40" s="95" customFormat="1" x14ac:dyDescent="0.25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AJ292" s="142"/>
      <c r="AK292" s="142"/>
      <c r="AL292" s="136"/>
      <c r="AM292" s="136"/>
      <c r="AN292" s="136"/>
    </row>
    <row r="293" spans="1:40" s="95" customFormat="1" x14ac:dyDescent="0.25">
      <c r="A293" s="141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AJ293" s="142"/>
      <c r="AK293" s="142"/>
      <c r="AL293" s="136"/>
      <c r="AM293" s="136"/>
      <c r="AN293" s="136"/>
    </row>
    <row r="294" spans="1:40" s="95" customFormat="1" x14ac:dyDescent="0.25">
      <c r="A294" s="141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AJ294" s="142"/>
      <c r="AK294" s="142"/>
      <c r="AL294" s="136"/>
      <c r="AM294" s="136"/>
      <c r="AN294" s="136"/>
    </row>
    <row r="295" spans="1:40" s="95" customFormat="1" x14ac:dyDescent="0.25">
      <c r="A295" s="141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AJ295" s="142"/>
      <c r="AK295" s="142"/>
      <c r="AL295" s="136"/>
      <c r="AM295" s="136"/>
      <c r="AN295" s="136"/>
    </row>
    <row r="296" spans="1:40" s="95" customFormat="1" x14ac:dyDescent="0.25">
      <c r="A296" s="141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AJ296" s="142"/>
      <c r="AK296" s="142"/>
      <c r="AL296" s="136"/>
      <c r="AM296" s="136"/>
      <c r="AN296" s="136"/>
    </row>
    <row r="297" spans="1:40" s="95" customFormat="1" x14ac:dyDescent="0.25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AJ297" s="142"/>
      <c r="AK297" s="142"/>
      <c r="AL297" s="136"/>
      <c r="AM297" s="136"/>
      <c r="AN297" s="136"/>
    </row>
    <row r="298" spans="1:40" s="95" customFormat="1" x14ac:dyDescent="0.25">
      <c r="A298" s="141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AJ298" s="142"/>
      <c r="AK298" s="142"/>
      <c r="AL298" s="136"/>
      <c r="AM298" s="136"/>
      <c r="AN298" s="136"/>
    </row>
    <row r="299" spans="1:40" s="95" customFormat="1" x14ac:dyDescent="0.25">
      <c r="A299" s="141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AJ299" s="142"/>
      <c r="AK299" s="142"/>
      <c r="AL299" s="136"/>
      <c r="AM299" s="136"/>
      <c r="AN299" s="136"/>
    </row>
    <row r="300" spans="1:40" s="95" customFormat="1" x14ac:dyDescent="0.25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AJ300" s="142"/>
      <c r="AK300" s="142"/>
      <c r="AL300" s="136"/>
      <c r="AM300" s="136"/>
      <c r="AN300" s="136"/>
    </row>
    <row r="301" spans="1:40" s="95" customFormat="1" x14ac:dyDescent="0.25">
      <c r="A301" s="141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AJ301" s="142"/>
      <c r="AK301" s="142"/>
      <c r="AL301" s="136"/>
      <c r="AM301" s="136"/>
      <c r="AN301" s="136"/>
    </row>
    <row r="302" spans="1:40" s="95" customFormat="1" x14ac:dyDescent="0.25">
      <c r="A302" s="141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AJ302" s="142"/>
      <c r="AK302" s="142"/>
      <c r="AL302" s="136"/>
      <c r="AM302" s="136"/>
      <c r="AN302" s="136"/>
    </row>
    <row r="303" spans="1:40" s="95" customFormat="1" x14ac:dyDescent="0.25">
      <c r="A303" s="141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AJ303" s="142"/>
      <c r="AK303" s="142"/>
      <c r="AL303" s="136"/>
      <c r="AM303" s="136"/>
      <c r="AN303" s="136"/>
    </row>
    <row r="304" spans="1:40" s="95" customFormat="1" x14ac:dyDescent="0.25">
      <c r="A304" s="141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AJ304" s="142"/>
      <c r="AK304" s="142"/>
      <c r="AL304" s="136"/>
      <c r="AM304" s="136"/>
      <c r="AN304" s="136"/>
    </row>
    <row r="305" spans="1:40" s="95" customFormat="1" x14ac:dyDescent="0.25">
      <c r="A305" s="141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AJ305" s="142"/>
      <c r="AK305" s="142"/>
      <c r="AL305" s="136"/>
      <c r="AM305" s="136"/>
      <c r="AN305" s="136"/>
    </row>
    <row r="306" spans="1:40" s="95" customFormat="1" x14ac:dyDescent="0.25">
      <c r="A306" s="141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AJ306" s="142"/>
      <c r="AK306" s="142"/>
      <c r="AL306" s="136"/>
      <c r="AM306" s="136"/>
      <c r="AN306" s="136"/>
    </row>
    <row r="307" spans="1:40" s="95" customFormat="1" x14ac:dyDescent="0.25">
      <c r="A307" s="141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AJ307" s="142"/>
      <c r="AK307" s="142"/>
      <c r="AL307" s="136"/>
      <c r="AM307" s="136"/>
      <c r="AN307" s="136"/>
    </row>
    <row r="308" spans="1:40" s="95" customFormat="1" x14ac:dyDescent="0.25">
      <c r="A308" s="141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AJ308" s="142"/>
      <c r="AK308" s="142"/>
      <c r="AL308" s="136"/>
      <c r="AM308" s="136"/>
      <c r="AN308" s="136"/>
    </row>
    <row r="309" spans="1:40" s="95" customFormat="1" x14ac:dyDescent="0.25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AJ309" s="142"/>
      <c r="AK309" s="142"/>
      <c r="AL309" s="136"/>
      <c r="AM309" s="136"/>
      <c r="AN309" s="136"/>
    </row>
    <row r="310" spans="1:40" s="95" customFormat="1" x14ac:dyDescent="0.25">
      <c r="A310" s="141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AJ310" s="142"/>
      <c r="AK310" s="142"/>
      <c r="AL310" s="136"/>
      <c r="AM310" s="136"/>
      <c r="AN310" s="136"/>
    </row>
    <row r="311" spans="1:40" s="95" customFormat="1" x14ac:dyDescent="0.25">
      <c r="A311" s="141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AJ311" s="142"/>
      <c r="AK311" s="142"/>
      <c r="AL311" s="136"/>
      <c r="AM311" s="136"/>
      <c r="AN311" s="136"/>
    </row>
    <row r="312" spans="1:40" s="95" customFormat="1" x14ac:dyDescent="0.25">
      <c r="A312" s="141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AJ312" s="142"/>
      <c r="AK312" s="142"/>
      <c r="AL312" s="136"/>
      <c r="AM312" s="136"/>
      <c r="AN312" s="136"/>
    </row>
    <row r="313" spans="1:40" s="95" customFormat="1" x14ac:dyDescent="0.25">
      <c r="A313" s="141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AJ313" s="142"/>
      <c r="AK313" s="142"/>
      <c r="AL313" s="136"/>
      <c r="AM313" s="136"/>
      <c r="AN313" s="136"/>
    </row>
    <row r="314" spans="1:40" s="95" customFormat="1" x14ac:dyDescent="0.25">
      <c r="A314" s="141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AJ314" s="142"/>
      <c r="AK314" s="142"/>
      <c r="AL314" s="136"/>
      <c r="AM314" s="136"/>
      <c r="AN314" s="136"/>
    </row>
    <row r="315" spans="1:40" s="95" customFormat="1" x14ac:dyDescent="0.25">
      <c r="A315" s="141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AJ315" s="142"/>
      <c r="AK315" s="142"/>
      <c r="AL315" s="136"/>
      <c r="AM315" s="136"/>
      <c r="AN315" s="136"/>
    </row>
    <row r="316" spans="1:40" s="95" customFormat="1" x14ac:dyDescent="0.25">
      <c r="A316" s="141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AJ316" s="142"/>
      <c r="AK316" s="142"/>
      <c r="AL316" s="136"/>
      <c r="AM316" s="136"/>
      <c r="AN316" s="136"/>
    </row>
    <row r="317" spans="1:40" s="95" customFormat="1" x14ac:dyDescent="0.25">
      <c r="A317" s="141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AJ317" s="142"/>
      <c r="AK317" s="142"/>
      <c r="AL317" s="136"/>
      <c r="AM317" s="136"/>
      <c r="AN317" s="136"/>
    </row>
    <row r="318" spans="1:40" s="95" customFormat="1" x14ac:dyDescent="0.25">
      <c r="A318" s="141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AJ318" s="142"/>
      <c r="AK318" s="142"/>
      <c r="AL318" s="136"/>
      <c r="AM318" s="136"/>
      <c r="AN318" s="136"/>
    </row>
    <row r="319" spans="1:40" s="95" customFormat="1" x14ac:dyDescent="0.25">
      <c r="A319" s="141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AJ319" s="142"/>
      <c r="AK319" s="142"/>
      <c r="AL319" s="136"/>
      <c r="AM319" s="136"/>
      <c r="AN319" s="136"/>
    </row>
    <row r="320" spans="1:40" s="95" customFormat="1" x14ac:dyDescent="0.25">
      <c r="A320" s="141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AJ320" s="142"/>
      <c r="AK320" s="142"/>
      <c r="AL320" s="136"/>
      <c r="AM320" s="136"/>
      <c r="AN320" s="136"/>
    </row>
    <row r="321" spans="1:40" s="95" customFormat="1" x14ac:dyDescent="0.25">
      <c r="A321" s="141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AJ321" s="142"/>
      <c r="AK321" s="142"/>
      <c r="AL321" s="136"/>
      <c r="AM321" s="136"/>
      <c r="AN321" s="136"/>
    </row>
    <row r="322" spans="1:40" s="95" customFormat="1" x14ac:dyDescent="0.25">
      <c r="A322" s="141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AJ322" s="142"/>
      <c r="AK322" s="142"/>
      <c r="AL322" s="136"/>
      <c r="AM322" s="136"/>
      <c r="AN322" s="136"/>
    </row>
    <row r="323" spans="1:40" s="95" customFormat="1" x14ac:dyDescent="0.25">
      <c r="A323" s="141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AJ323" s="142"/>
      <c r="AK323" s="142"/>
      <c r="AL323" s="136"/>
      <c r="AM323" s="136"/>
      <c r="AN323" s="136"/>
    </row>
    <row r="324" spans="1:40" s="95" customFormat="1" x14ac:dyDescent="0.25">
      <c r="A324" s="141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AJ324" s="142"/>
      <c r="AK324" s="142"/>
      <c r="AL324" s="136"/>
      <c r="AM324" s="136"/>
      <c r="AN324" s="136"/>
    </row>
    <row r="325" spans="1:40" s="95" customFormat="1" x14ac:dyDescent="0.25">
      <c r="A325" s="141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AJ325" s="142"/>
      <c r="AK325" s="142"/>
      <c r="AL325" s="136"/>
      <c r="AM325" s="136"/>
      <c r="AN325" s="136"/>
    </row>
    <row r="326" spans="1:40" s="95" customFormat="1" x14ac:dyDescent="0.25">
      <c r="A326" s="141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AJ326" s="142"/>
      <c r="AK326" s="142"/>
      <c r="AL326" s="136"/>
      <c r="AM326" s="136"/>
      <c r="AN326" s="136"/>
    </row>
    <row r="327" spans="1:40" s="95" customFormat="1" x14ac:dyDescent="0.25">
      <c r="A327" s="141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AJ327" s="142"/>
      <c r="AK327" s="142"/>
      <c r="AL327" s="136"/>
      <c r="AM327" s="136"/>
      <c r="AN327" s="136"/>
    </row>
    <row r="328" spans="1:40" s="95" customFormat="1" x14ac:dyDescent="0.25">
      <c r="A328" s="141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AJ328" s="142"/>
      <c r="AK328" s="142"/>
      <c r="AL328" s="136"/>
      <c r="AM328" s="136"/>
      <c r="AN328" s="136"/>
    </row>
    <row r="329" spans="1:40" s="95" customFormat="1" x14ac:dyDescent="0.25">
      <c r="A329" s="141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AJ329" s="142"/>
      <c r="AK329" s="142"/>
      <c r="AL329" s="136"/>
      <c r="AM329" s="136"/>
      <c r="AN329" s="136"/>
    </row>
    <row r="330" spans="1:40" s="95" customFormat="1" x14ac:dyDescent="0.25">
      <c r="A330" s="141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AJ330" s="142"/>
      <c r="AK330" s="142"/>
      <c r="AL330" s="136"/>
      <c r="AM330" s="136"/>
      <c r="AN330" s="136"/>
    </row>
    <row r="331" spans="1:40" s="95" customFormat="1" x14ac:dyDescent="0.25">
      <c r="A331" s="141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AJ331" s="142"/>
      <c r="AK331" s="142"/>
      <c r="AL331" s="136"/>
      <c r="AM331" s="136"/>
      <c r="AN331" s="136"/>
    </row>
    <row r="332" spans="1:40" s="95" customFormat="1" x14ac:dyDescent="0.25">
      <c r="A332" s="141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AJ332" s="142"/>
      <c r="AK332" s="142"/>
      <c r="AL332" s="136"/>
      <c r="AM332" s="136"/>
      <c r="AN332" s="136"/>
    </row>
    <row r="333" spans="1:40" s="95" customFormat="1" x14ac:dyDescent="0.25">
      <c r="A333" s="141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AJ333" s="142"/>
      <c r="AK333" s="142"/>
      <c r="AL333" s="136"/>
      <c r="AM333" s="136"/>
      <c r="AN333" s="136"/>
    </row>
    <row r="334" spans="1:40" s="95" customFormat="1" x14ac:dyDescent="0.25">
      <c r="A334" s="141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AJ334" s="142"/>
      <c r="AK334" s="142"/>
      <c r="AL334" s="136"/>
      <c r="AM334" s="136"/>
      <c r="AN334" s="136"/>
    </row>
    <row r="335" spans="1:40" s="95" customFormat="1" x14ac:dyDescent="0.25">
      <c r="A335" s="141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AJ335" s="142"/>
      <c r="AK335" s="142"/>
      <c r="AL335" s="136"/>
      <c r="AM335" s="136"/>
      <c r="AN335" s="136"/>
    </row>
    <row r="336" spans="1:40" s="95" customFormat="1" x14ac:dyDescent="0.25">
      <c r="A336" s="141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AJ336" s="142"/>
      <c r="AK336" s="142"/>
      <c r="AL336" s="136"/>
      <c r="AM336" s="136"/>
      <c r="AN336" s="136"/>
    </row>
    <row r="337" spans="1:40" s="95" customFormat="1" x14ac:dyDescent="0.25">
      <c r="A337" s="141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AJ337" s="142"/>
      <c r="AK337" s="142"/>
      <c r="AL337" s="136"/>
      <c r="AM337" s="136"/>
      <c r="AN337" s="136"/>
    </row>
    <row r="338" spans="1:40" s="95" customFormat="1" x14ac:dyDescent="0.25">
      <c r="A338" s="141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AJ338" s="142"/>
      <c r="AK338" s="142"/>
      <c r="AL338" s="136"/>
      <c r="AM338" s="136"/>
      <c r="AN338" s="136"/>
    </row>
    <row r="339" spans="1:40" s="95" customFormat="1" x14ac:dyDescent="0.25">
      <c r="A339" s="141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AJ339" s="142"/>
      <c r="AK339" s="142"/>
      <c r="AL339" s="136"/>
      <c r="AM339" s="136"/>
      <c r="AN339" s="136"/>
    </row>
    <row r="340" spans="1:40" s="95" customFormat="1" x14ac:dyDescent="0.25">
      <c r="A340" s="141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AJ340" s="142"/>
      <c r="AK340" s="142"/>
      <c r="AL340" s="136"/>
      <c r="AM340" s="136"/>
      <c r="AN340" s="136"/>
    </row>
    <row r="341" spans="1:40" s="95" customFormat="1" x14ac:dyDescent="0.25">
      <c r="A341" s="141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AJ341" s="142"/>
      <c r="AK341" s="142"/>
      <c r="AL341" s="136"/>
      <c r="AM341" s="136"/>
      <c r="AN341" s="136"/>
    </row>
    <row r="342" spans="1:40" s="95" customFormat="1" x14ac:dyDescent="0.25">
      <c r="A342" s="141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AJ342" s="142"/>
      <c r="AK342" s="142"/>
      <c r="AL342" s="136"/>
      <c r="AM342" s="136"/>
      <c r="AN342" s="136"/>
    </row>
    <row r="343" spans="1:40" s="95" customFormat="1" x14ac:dyDescent="0.25">
      <c r="A343" s="141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AJ343" s="142"/>
      <c r="AK343" s="142"/>
      <c r="AL343" s="136"/>
      <c r="AM343" s="136"/>
      <c r="AN343" s="136"/>
    </row>
    <row r="344" spans="1:40" s="95" customFormat="1" x14ac:dyDescent="0.25">
      <c r="A344" s="141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AJ344" s="142"/>
      <c r="AK344" s="142"/>
      <c r="AL344" s="136"/>
      <c r="AM344" s="136"/>
      <c r="AN344" s="136"/>
    </row>
    <row r="345" spans="1:40" s="95" customFormat="1" x14ac:dyDescent="0.25">
      <c r="A345" s="141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AJ345" s="142"/>
      <c r="AK345" s="142"/>
      <c r="AL345" s="136"/>
      <c r="AM345" s="136"/>
      <c r="AN345" s="136"/>
    </row>
    <row r="346" spans="1:40" s="95" customFormat="1" x14ac:dyDescent="0.25">
      <c r="A346" s="141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AJ346" s="142"/>
      <c r="AK346" s="142"/>
      <c r="AL346" s="136"/>
      <c r="AM346" s="136"/>
      <c r="AN346" s="136"/>
    </row>
    <row r="347" spans="1:40" s="95" customFormat="1" x14ac:dyDescent="0.25">
      <c r="A347" s="141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AJ347" s="142"/>
      <c r="AK347" s="142"/>
      <c r="AL347" s="136"/>
      <c r="AM347" s="136"/>
      <c r="AN347" s="136"/>
    </row>
    <row r="348" spans="1:40" s="95" customFormat="1" x14ac:dyDescent="0.25">
      <c r="A348" s="141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AJ348" s="142"/>
      <c r="AK348" s="142"/>
      <c r="AL348" s="136"/>
      <c r="AM348" s="136"/>
      <c r="AN348" s="136"/>
    </row>
    <row r="349" spans="1:40" s="95" customFormat="1" x14ac:dyDescent="0.25">
      <c r="A349" s="141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AJ349" s="142"/>
      <c r="AK349" s="142"/>
      <c r="AL349" s="136"/>
      <c r="AM349" s="136"/>
      <c r="AN349" s="136"/>
    </row>
    <row r="350" spans="1:40" s="95" customFormat="1" x14ac:dyDescent="0.25">
      <c r="A350" s="141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AJ350" s="142"/>
      <c r="AK350" s="142"/>
      <c r="AL350" s="136"/>
      <c r="AM350" s="136"/>
      <c r="AN350" s="136"/>
    </row>
    <row r="351" spans="1:40" s="95" customFormat="1" x14ac:dyDescent="0.25">
      <c r="A351" s="141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AJ351" s="142"/>
      <c r="AK351" s="142"/>
      <c r="AL351" s="136"/>
      <c r="AM351" s="136"/>
      <c r="AN351" s="136"/>
    </row>
    <row r="352" spans="1:40" s="95" customFormat="1" x14ac:dyDescent="0.25">
      <c r="A352" s="141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AJ352" s="142"/>
      <c r="AK352" s="142"/>
      <c r="AL352" s="136"/>
      <c r="AM352" s="136"/>
      <c r="AN352" s="136"/>
    </row>
    <row r="353" spans="1:40" s="95" customFormat="1" x14ac:dyDescent="0.25">
      <c r="A353" s="141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AJ353" s="142"/>
      <c r="AK353" s="142"/>
      <c r="AL353" s="136"/>
      <c r="AM353" s="136"/>
      <c r="AN353" s="136"/>
    </row>
    <row r="354" spans="1:40" s="95" customFormat="1" x14ac:dyDescent="0.25">
      <c r="A354" s="141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AJ354" s="142"/>
      <c r="AK354" s="142"/>
      <c r="AL354" s="136"/>
      <c r="AM354" s="136"/>
      <c r="AN354" s="136"/>
    </row>
    <row r="355" spans="1:40" s="95" customFormat="1" x14ac:dyDescent="0.25">
      <c r="A355" s="141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AJ355" s="142"/>
      <c r="AK355" s="142"/>
      <c r="AL355" s="136"/>
      <c r="AM355" s="136"/>
      <c r="AN355" s="136"/>
    </row>
    <row r="356" spans="1:40" s="95" customFormat="1" x14ac:dyDescent="0.25">
      <c r="A356" s="141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AJ356" s="142"/>
      <c r="AK356" s="142"/>
      <c r="AL356" s="136"/>
      <c r="AM356" s="136"/>
      <c r="AN356" s="136"/>
    </row>
    <row r="357" spans="1:40" s="95" customFormat="1" x14ac:dyDescent="0.25">
      <c r="A357" s="141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AJ357" s="142"/>
      <c r="AK357" s="142"/>
      <c r="AL357" s="136"/>
      <c r="AM357" s="136"/>
      <c r="AN357" s="136"/>
    </row>
    <row r="358" spans="1:40" s="95" customFormat="1" x14ac:dyDescent="0.25">
      <c r="A358" s="141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AJ358" s="142"/>
      <c r="AK358" s="142"/>
      <c r="AL358" s="136"/>
      <c r="AM358" s="136"/>
      <c r="AN358" s="136"/>
    </row>
    <row r="359" spans="1:40" s="95" customFormat="1" x14ac:dyDescent="0.25">
      <c r="A359" s="141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AJ359" s="142"/>
      <c r="AK359" s="142"/>
      <c r="AL359" s="136"/>
      <c r="AM359" s="136"/>
      <c r="AN359" s="136"/>
    </row>
    <row r="360" spans="1:40" s="95" customFormat="1" x14ac:dyDescent="0.25">
      <c r="A360" s="141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AJ360" s="142"/>
      <c r="AK360" s="142"/>
      <c r="AL360" s="136"/>
      <c r="AM360" s="136"/>
      <c r="AN360" s="136"/>
    </row>
    <row r="361" spans="1:40" s="95" customFormat="1" x14ac:dyDescent="0.25">
      <c r="A361" s="141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AJ361" s="142"/>
      <c r="AK361" s="142"/>
      <c r="AL361" s="136"/>
      <c r="AM361" s="136"/>
      <c r="AN361" s="136"/>
    </row>
    <row r="362" spans="1:40" s="95" customFormat="1" x14ac:dyDescent="0.25">
      <c r="A362" s="141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AJ362" s="142"/>
      <c r="AK362" s="142"/>
      <c r="AL362" s="136"/>
      <c r="AM362" s="136"/>
      <c r="AN362" s="136"/>
    </row>
    <row r="363" spans="1:40" s="95" customFormat="1" x14ac:dyDescent="0.25">
      <c r="A363" s="141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AJ363" s="142"/>
      <c r="AK363" s="142"/>
      <c r="AL363" s="136"/>
      <c r="AM363" s="136"/>
      <c r="AN363" s="136"/>
    </row>
    <row r="364" spans="1:40" s="95" customFormat="1" x14ac:dyDescent="0.25">
      <c r="A364" s="141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AJ364" s="142"/>
      <c r="AK364" s="142"/>
      <c r="AL364" s="136"/>
      <c r="AM364" s="136"/>
      <c r="AN364" s="136"/>
    </row>
    <row r="365" spans="1:40" s="95" customFormat="1" x14ac:dyDescent="0.25">
      <c r="A365" s="141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AJ365" s="142"/>
      <c r="AK365" s="142"/>
      <c r="AL365" s="136"/>
      <c r="AM365" s="136"/>
      <c r="AN365" s="136"/>
    </row>
    <row r="366" spans="1:40" s="95" customFormat="1" x14ac:dyDescent="0.25">
      <c r="A366" s="141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AJ366" s="142"/>
      <c r="AK366" s="142"/>
      <c r="AL366" s="136"/>
      <c r="AM366" s="136"/>
      <c r="AN366" s="136"/>
    </row>
    <row r="367" spans="1:40" s="95" customFormat="1" x14ac:dyDescent="0.25">
      <c r="A367" s="141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AJ367" s="142"/>
      <c r="AK367" s="142"/>
      <c r="AL367" s="136"/>
      <c r="AM367" s="136"/>
      <c r="AN367" s="136"/>
    </row>
    <row r="368" spans="1:40" s="95" customFormat="1" x14ac:dyDescent="0.25">
      <c r="A368" s="141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AJ368" s="142"/>
      <c r="AK368" s="142"/>
      <c r="AL368" s="136"/>
      <c r="AM368" s="136"/>
      <c r="AN368" s="136"/>
    </row>
    <row r="369" spans="1:40" s="95" customFormat="1" x14ac:dyDescent="0.25">
      <c r="A369" s="141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AJ369" s="142"/>
      <c r="AK369" s="142"/>
      <c r="AL369" s="136"/>
      <c r="AM369" s="136"/>
      <c r="AN369" s="136"/>
    </row>
    <row r="370" spans="1:40" s="95" customFormat="1" x14ac:dyDescent="0.25">
      <c r="A370" s="141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AJ370" s="142"/>
      <c r="AK370" s="142"/>
      <c r="AL370" s="136"/>
      <c r="AM370" s="136"/>
      <c r="AN370" s="136"/>
    </row>
    <row r="371" spans="1:40" s="95" customFormat="1" x14ac:dyDescent="0.25">
      <c r="A371" s="141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AJ371" s="142"/>
      <c r="AK371" s="142"/>
      <c r="AL371" s="136"/>
      <c r="AM371" s="136"/>
      <c r="AN371" s="136"/>
    </row>
    <row r="372" spans="1:40" s="95" customFormat="1" x14ac:dyDescent="0.25">
      <c r="A372" s="141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AJ372" s="142"/>
      <c r="AK372" s="142"/>
      <c r="AL372" s="136"/>
      <c r="AM372" s="136"/>
      <c r="AN372" s="136"/>
    </row>
    <row r="373" spans="1:40" s="95" customFormat="1" x14ac:dyDescent="0.25">
      <c r="A373" s="141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AJ373" s="142"/>
      <c r="AK373" s="142"/>
      <c r="AL373" s="136"/>
      <c r="AM373" s="136"/>
      <c r="AN373" s="136"/>
    </row>
    <row r="374" spans="1:40" s="95" customFormat="1" x14ac:dyDescent="0.25">
      <c r="A374" s="141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AJ374" s="142"/>
      <c r="AK374" s="142"/>
      <c r="AL374" s="136"/>
      <c r="AM374" s="136"/>
      <c r="AN374" s="136"/>
    </row>
    <row r="375" spans="1:40" s="95" customFormat="1" x14ac:dyDescent="0.25">
      <c r="A375" s="141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AJ375" s="142"/>
      <c r="AK375" s="142"/>
      <c r="AL375" s="136"/>
      <c r="AM375" s="136"/>
      <c r="AN375" s="136"/>
    </row>
    <row r="376" spans="1:40" s="95" customFormat="1" x14ac:dyDescent="0.25">
      <c r="A376" s="141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AJ376" s="142"/>
      <c r="AK376" s="142"/>
      <c r="AL376" s="136"/>
      <c r="AM376" s="136"/>
      <c r="AN376" s="136"/>
    </row>
    <row r="377" spans="1:40" s="95" customFormat="1" x14ac:dyDescent="0.25">
      <c r="A377" s="141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AJ377" s="142"/>
      <c r="AK377" s="142"/>
      <c r="AL377" s="136"/>
      <c r="AM377" s="136"/>
      <c r="AN377" s="136"/>
    </row>
    <row r="378" spans="1:40" s="95" customFormat="1" x14ac:dyDescent="0.25">
      <c r="A378" s="141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AJ378" s="142"/>
      <c r="AK378" s="142"/>
      <c r="AL378" s="136"/>
      <c r="AM378" s="136"/>
      <c r="AN378" s="136"/>
    </row>
    <row r="379" spans="1:40" s="95" customFormat="1" x14ac:dyDescent="0.25">
      <c r="A379" s="141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AJ379" s="142"/>
      <c r="AK379" s="142"/>
      <c r="AL379" s="136"/>
      <c r="AM379" s="136"/>
      <c r="AN379" s="136"/>
    </row>
    <row r="380" spans="1:40" s="95" customFormat="1" x14ac:dyDescent="0.25">
      <c r="A380" s="141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AJ380" s="142"/>
      <c r="AK380" s="142"/>
      <c r="AL380" s="136"/>
      <c r="AM380" s="136"/>
      <c r="AN380" s="136"/>
    </row>
    <row r="381" spans="1:40" s="95" customFormat="1" x14ac:dyDescent="0.25">
      <c r="A381" s="141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AJ381" s="142"/>
      <c r="AK381" s="142"/>
      <c r="AL381" s="136"/>
      <c r="AM381" s="136"/>
      <c r="AN381" s="136"/>
    </row>
    <row r="382" spans="1:40" s="95" customFormat="1" x14ac:dyDescent="0.25">
      <c r="A382" s="141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AJ382" s="142"/>
      <c r="AK382" s="142"/>
      <c r="AL382" s="136"/>
      <c r="AM382" s="136"/>
      <c r="AN382" s="136"/>
    </row>
    <row r="383" spans="1:40" s="95" customFormat="1" x14ac:dyDescent="0.25">
      <c r="A383" s="141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AJ383" s="142"/>
      <c r="AK383" s="142"/>
      <c r="AL383" s="136"/>
      <c r="AM383" s="136"/>
      <c r="AN383" s="136"/>
    </row>
    <row r="384" spans="1:40" s="95" customFormat="1" x14ac:dyDescent="0.25">
      <c r="A384" s="141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AJ384" s="142"/>
      <c r="AK384" s="142"/>
      <c r="AL384" s="136"/>
      <c r="AM384" s="136"/>
      <c r="AN384" s="136"/>
    </row>
    <row r="385" spans="1:40" s="95" customFormat="1" x14ac:dyDescent="0.25">
      <c r="A385" s="141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AJ385" s="142"/>
      <c r="AK385" s="142"/>
      <c r="AL385" s="136"/>
      <c r="AM385" s="136"/>
      <c r="AN385" s="136"/>
    </row>
    <row r="386" spans="1:40" s="95" customFormat="1" x14ac:dyDescent="0.25">
      <c r="A386" s="141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AJ386" s="142"/>
      <c r="AK386" s="142"/>
      <c r="AL386" s="136"/>
      <c r="AM386" s="136"/>
      <c r="AN386" s="136"/>
    </row>
    <row r="387" spans="1:40" s="95" customFormat="1" x14ac:dyDescent="0.25">
      <c r="A387" s="141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AJ387" s="142"/>
      <c r="AK387" s="142"/>
      <c r="AL387" s="136"/>
      <c r="AM387" s="136"/>
      <c r="AN387" s="136"/>
    </row>
    <row r="388" spans="1:40" s="95" customFormat="1" x14ac:dyDescent="0.25">
      <c r="A388" s="141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AJ388" s="142"/>
      <c r="AK388" s="142"/>
      <c r="AL388" s="136"/>
      <c r="AM388" s="136"/>
      <c r="AN388" s="136"/>
    </row>
    <row r="389" spans="1:40" s="95" customFormat="1" x14ac:dyDescent="0.25">
      <c r="A389" s="141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AJ389" s="142"/>
      <c r="AK389" s="142"/>
      <c r="AL389" s="136"/>
      <c r="AM389" s="136"/>
      <c r="AN389" s="136"/>
    </row>
    <row r="390" spans="1:40" s="95" customFormat="1" x14ac:dyDescent="0.25">
      <c r="A390" s="141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AJ390" s="142"/>
      <c r="AK390" s="142"/>
      <c r="AL390" s="136"/>
      <c r="AM390" s="136"/>
      <c r="AN390" s="136"/>
    </row>
    <row r="391" spans="1:40" s="95" customFormat="1" x14ac:dyDescent="0.25">
      <c r="A391" s="141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AJ391" s="142"/>
      <c r="AK391" s="142"/>
      <c r="AL391" s="136"/>
      <c r="AM391" s="136"/>
      <c r="AN391" s="136"/>
    </row>
    <row r="392" spans="1:40" s="95" customFormat="1" x14ac:dyDescent="0.25">
      <c r="A392" s="141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AJ392" s="142"/>
      <c r="AK392" s="142"/>
      <c r="AL392" s="136"/>
      <c r="AM392" s="136"/>
      <c r="AN392" s="136"/>
    </row>
    <row r="393" spans="1:40" s="95" customFormat="1" x14ac:dyDescent="0.25">
      <c r="A393" s="141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AJ393" s="142"/>
      <c r="AK393" s="142"/>
      <c r="AL393" s="136"/>
      <c r="AM393" s="136"/>
      <c r="AN393" s="136"/>
    </row>
    <row r="394" spans="1:40" s="95" customFormat="1" x14ac:dyDescent="0.25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AJ394" s="142"/>
      <c r="AK394" s="142"/>
      <c r="AL394" s="136"/>
      <c r="AM394" s="136"/>
      <c r="AN394" s="136"/>
    </row>
    <row r="395" spans="1:40" s="95" customFormat="1" x14ac:dyDescent="0.25">
      <c r="A395" s="141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AJ395" s="142"/>
      <c r="AK395" s="142"/>
      <c r="AL395" s="136"/>
      <c r="AM395" s="136"/>
      <c r="AN395" s="136"/>
    </row>
    <row r="396" spans="1:40" s="95" customFormat="1" x14ac:dyDescent="0.25">
      <c r="A396" s="141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AJ396" s="142"/>
      <c r="AK396" s="142"/>
      <c r="AL396" s="136"/>
      <c r="AM396" s="136"/>
      <c r="AN396" s="136"/>
    </row>
    <row r="397" spans="1:40" s="95" customFormat="1" x14ac:dyDescent="0.25">
      <c r="A397" s="141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AJ397" s="142"/>
      <c r="AK397" s="142"/>
      <c r="AL397" s="136"/>
      <c r="AM397" s="136"/>
      <c r="AN397" s="136"/>
    </row>
    <row r="398" spans="1:40" s="95" customFormat="1" x14ac:dyDescent="0.25">
      <c r="A398" s="141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AJ398" s="142"/>
      <c r="AK398" s="142"/>
      <c r="AL398" s="136"/>
      <c r="AM398" s="136"/>
      <c r="AN398" s="136"/>
    </row>
    <row r="399" spans="1:40" s="95" customFormat="1" x14ac:dyDescent="0.25">
      <c r="A399" s="141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AJ399" s="142"/>
      <c r="AK399" s="142"/>
      <c r="AL399" s="136"/>
      <c r="AM399" s="136"/>
      <c r="AN399" s="136"/>
    </row>
    <row r="400" spans="1:40" s="95" customFormat="1" x14ac:dyDescent="0.25">
      <c r="A400" s="141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AJ400" s="142"/>
      <c r="AK400" s="142"/>
      <c r="AL400" s="136"/>
      <c r="AM400" s="136"/>
      <c r="AN400" s="136"/>
    </row>
    <row r="401" spans="1:40" s="95" customFormat="1" x14ac:dyDescent="0.25">
      <c r="A401" s="141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AJ401" s="142"/>
      <c r="AK401" s="142"/>
      <c r="AL401" s="136"/>
      <c r="AM401" s="136"/>
      <c r="AN401" s="136"/>
    </row>
    <row r="402" spans="1:40" s="95" customFormat="1" x14ac:dyDescent="0.25">
      <c r="A402" s="141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AJ402" s="142"/>
      <c r="AK402" s="142"/>
      <c r="AL402" s="136"/>
      <c r="AM402" s="136"/>
      <c r="AN402" s="136"/>
    </row>
    <row r="403" spans="1:40" s="95" customFormat="1" x14ac:dyDescent="0.25">
      <c r="A403" s="141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AJ403" s="142"/>
      <c r="AK403" s="142"/>
      <c r="AL403" s="136"/>
      <c r="AM403" s="136"/>
      <c r="AN403" s="136"/>
    </row>
    <row r="404" spans="1:40" s="95" customFormat="1" x14ac:dyDescent="0.25">
      <c r="A404" s="141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AJ404" s="142"/>
      <c r="AK404" s="142"/>
      <c r="AL404" s="136"/>
      <c r="AM404" s="136"/>
      <c r="AN404" s="136"/>
    </row>
    <row r="405" spans="1:40" s="95" customFormat="1" x14ac:dyDescent="0.25">
      <c r="A405" s="141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AJ405" s="142"/>
      <c r="AK405" s="142"/>
      <c r="AL405" s="136"/>
      <c r="AM405" s="136"/>
      <c r="AN405" s="136"/>
    </row>
    <row r="406" spans="1:40" s="95" customFormat="1" x14ac:dyDescent="0.25">
      <c r="A406" s="141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AJ406" s="142"/>
      <c r="AK406" s="142"/>
      <c r="AL406" s="136"/>
      <c r="AM406" s="136"/>
      <c r="AN406" s="136"/>
    </row>
    <row r="407" spans="1:40" s="95" customFormat="1" x14ac:dyDescent="0.25">
      <c r="A407" s="141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AJ407" s="142"/>
      <c r="AK407" s="142"/>
      <c r="AL407" s="136"/>
      <c r="AM407" s="136"/>
      <c r="AN407" s="136"/>
    </row>
    <row r="408" spans="1:40" s="95" customFormat="1" x14ac:dyDescent="0.25">
      <c r="A408" s="141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AJ408" s="142"/>
      <c r="AK408" s="142"/>
      <c r="AL408" s="136"/>
      <c r="AM408" s="136"/>
      <c r="AN408" s="136"/>
    </row>
    <row r="409" spans="1:40" s="95" customFormat="1" x14ac:dyDescent="0.25">
      <c r="A409" s="141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AJ409" s="142"/>
      <c r="AK409" s="142"/>
      <c r="AL409" s="136"/>
      <c r="AM409" s="136"/>
      <c r="AN409" s="136"/>
    </row>
    <row r="410" spans="1:40" s="95" customFormat="1" x14ac:dyDescent="0.25">
      <c r="A410" s="141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AJ410" s="142"/>
      <c r="AK410" s="142"/>
      <c r="AL410" s="136"/>
      <c r="AM410" s="136"/>
      <c r="AN410" s="136"/>
    </row>
    <row r="411" spans="1:40" s="95" customFormat="1" x14ac:dyDescent="0.25">
      <c r="A411" s="141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AJ411" s="142"/>
      <c r="AK411" s="142"/>
      <c r="AL411" s="136"/>
      <c r="AM411" s="136"/>
      <c r="AN411" s="136"/>
    </row>
    <row r="412" spans="1:40" s="95" customFormat="1" x14ac:dyDescent="0.25">
      <c r="A412" s="141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AJ412" s="142"/>
      <c r="AK412" s="142"/>
      <c r="AL412" s="136"/>
      <c r="AM412" s="136"/>
      <c r="AN412" s="136"/>
    </row>
    <row r="413" spans="1:40" s="95" customFormat="1" x14ac:dyDescent="0.25">
      <c r="A413" s="141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AJ413" s="142"/>
      <c r="AK413" s="142"/>
      <c r="AL413" s="136"/>
      <c r="AM413" s="136"/>
      <c r="AN413" s="136"/>
    </row>
    <row r="414" spans="1:40" s="95" customFormat="1" x14ac:dyDescent="0.25">
      <c r="A414" s="141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AJ414" s="142"/>
      <c r="AK414" s="142"/>
      <c r="AL414" s="136"/>
      <c r="AM414" s="136"/>
      <c r="AN414" s="136"/>
    </row>
    <row r="415" spans="1:40" s="95" customFormat="1" x14ac:dyDescent="0.25">
      <c r="A415" s="141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AJ415" s="142"/>
      <c r="AK415" s="142"/>
      <c r="AL415" s="136"/>
      <c r="AM415" s="136"/>
      <c r="AN415" s="136"/>
    </row>
    <row r="416" spans="1:40" s="95" customFormat="1" x14ac:dyDescent="0.25">
      <c r="A416" s="141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AJ416" s="142"/>
      <c r="AK416" s="142"/>
      <c r="AL416" s="136"/>
      <c r="AM416" s="136"/>
      <c r="AN416" s="136"/>
    </row>
    <row r="417" spans="1:40" s="95" customFormat="1" x14ac:dyDescent="0.25">
      <c r="A417" s="141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AJ417" s="142"/>
      <c r="AK417" s="142"/>
      <c r="AL417" s="136"/>
      <c r="AM417" s="136"/>
      <c r="AN417" s="136"/>
    </row>
    <row r="418" spans="1:40" s="95" customFormat="1" x14ac:dyDescent="0.25">
      <c r="A418" s="141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AJ418" s="142"/>
      <c r="AK418" s="142"/>
      <c r="AL418" s="136"/>
      <c r="AM418" s="136"/>
      <c r="AN418" s="136"/>
    </row>
    <row r="419" spans="1:40" s="95" customFormat="1" x14ac:dyDescent="0.25">
      <c r="A419" s="141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AJ419" s="142"/>
      <c r="AK419" s="142"/>
      <c r="AL419" s="136"/>
      <c r="AM419" s="136"/>
      <c r="AN419" s="136"/>
    </row>
    <row r="420" spans="1:40" s="95" customFormat="1" x14ac:dyDescent="0.25">
      <c r="A420" s="141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AJ420" s="142"/>
      <c r="AK420" s="142"/>
      <c r="AL420" s="136"/>
      <c r="AM420" s="136"/>
      <c r="AN420" s="136"/>
    </row>
    <row r="421" spans="1:40" s="95" customFormat="1" x14ac:dyDescent="0.25">
      <c r="A421" s="141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AJ421" s="142"/>
      <c r="AK421" s="142"/>
      <c r="AL421" s="136"/>
      <c r="AM421" s="136"/>
      <c r="AN421" s="136"/>
    </row>
    <row r="422" spans="1:40" s="95" customFormat="1" x14ac:dyDescent="0.25">
      <c r="A422" s="141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AJ422" s="142"/>
      <c r="AK422" s="142"/>
      <c r="AL422" s="136"/>
      <c r="AM422" s="136"/>
      <c r="AN422" s="136"/>
    </row>
    <row r="423" spans="1:40" s="95" customFormat="1" x14ac:dyDescent="0.25">
      <c r="A423" s="141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AJ423" s="142"/>
      <c r="AK423" s="142"/>
      <c r="AL423" s="136"/>
      <c r="AM423" s="136"/>
      <c r="AN423" s="136"/>
    </row>
    <row r="424" spans="1:40" s="95" customFormat="1" x14ac:dyDescent="0.25">
      <c r="A424" s="141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AJ424" s="142"/>
      <c r="AK424" s="142"/>
      <c r="AL424" s="136"/>
      <c r="AM424" s="136"/>
      <c r="AN424" s="136"/>
    </row>
    <row r="425" spans="1:40" s="95" customFormat="1" x14ac:dyDescent="0.25">
      <c r="A425" s="141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AJ425" s="142"/>
      <c r="AK425" s="142"/>
      <c r="AL425" s="136"/>
      <c r="AM425" s="136"/>
      <c r="AN425" s="136"/>
    </row>
    <row r="426" spans="1:40" s="95" customFormat="1" x14ac:dyDescent="0.25">
      <c r="A426" s="141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AJ426" s="142"/>
      <c r="AK426" s="142"/>
      <c r="AL426" s="136"/>
      <c r="AM426" s="136"/>
      <c r="AN426" s="136"/>
    </row>
    <row r="427" spans="1:40" s="95" customFormat="1" x14ac:dyDescent="0.25">
      <c r="A427" s="141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AJ427" s="142"/>
      <c r="AK427" s="142"/>
      <c r="AL427" s="136"/>
      <c r="AM427" s="136"/>
      <c r="AN427" s="136"/>
    </row>
    <row r="428" spans="1:40" s="95" customFormat="1" x14ac:dyDescent="0.25">
      <c r="A428" s="141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AJ428" s="142"/>
      <c r="AK428" s="142"/>
      <c r="AL428" s="136"/>
      <c r="AM428" s="136"/>
      <c r="AN428" s="136"/>
    </row>
    <row r="429" spans="1:40" s="95" customFormat="1" x14ac:dyDescent="0.25">
      <c r="A429" s="141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AJ429" s="142"/>
      <c r="AK429" s="142"/>
      <c r="AL429" s="136"/>
      <c r="AM429" s="136"/>
      <c r="AN429" s="136"/>
    </row>
    <row r="430" spans="1:40" s="95" customFormat="1" x14ac:dyDescent="0.25">
      <c r="A430" s="141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AJ430" s="142"/>
      <c r="AK430" s="142"/>
      <c r="AL430" s="136"/>
      <c r="AM430" s="136"/>
      <c r="AN430" s="136"/>
    </row>
    <row r="431" spans="1:40" s="95" customFormat="1" x14ac:dyDescent="0.25">
      <c r="A431" s="141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AJ431" s="142"/>
      <c r="AK431" s="142"/>
      <c r="AL431" s="136"/>
      <c r="AM431" s="136"/>
      <c r="AN431" s="136"/>
    </row>
    <row r="432" spans="1:40" s="95" customFormat="1" x14ac:dyDescent="0.25">
      <c r="A432" s="141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AJ432" s="142"/>
      <c r="AK432" s="142"/>
      <c r="AL432" s="136"/>
      <c r="AM432" s="136"/>
      <c r="AN432" s="136"/>
    </row>
    <row r="433" spans="1:40" s="95" customFormat="1" x14ac:dyDescent="0.25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AJ433" s="142"/>
      <c r="AK433" s="142"/>
      <c r="AL433" s="136"/>
      <c r="AM433" s="136"/>
      <c r="AN433" s="136"/>
    </row>
    <row r="434" spans="1:40" s="95" customFormat="1" x14ac:dyDescent="0.25">
      <c r="A434" s="141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AJ434" s="142"/>
      <c r="AK434" s="142"/>
      <c r="AL434" s="136"/>
      <c r="AM434" s="136"/>
      <c r="AN434" s="136"/>
    </row>
    <row r="435" spans="1:40" s="95" customFormat="1" x14ac:dyDescent="0.25">
      <c r="A435" s="141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AJ435" s="142"/>
      <c r="AK435" s="142"/>
      <c r="AL435" s="136"/>
      <c r="AM435" s="136"/>
      <c r="AN435" s="136"/>
    </row>
    <row r="436" spans="1:40" s="95" customFormat="1" x14ac:dyDescent="0.25">
      <c r="A436" s="141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AJ436" s="142"/>
      <c r="AK436" s="142"/>
      <c r="AL436" s="136"/>
      <c r="AM436" s="136"/>
      <c r="AN436" s="136"/>
    </row>
    <row r="437" spans="1:40" s="95" customFormat="1" x14ac:dyDescent="0.25">
      <c r="A437" s="141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AJ437" s="142"/>
      <c r="AK437" s="142"/>
      <c r="AL437" s="136"/>
      <c r="AM437" s="136"/>
      <c r="AN437" s="136"/>
    </row>
    <row r="438" spans="1:40" s="95" customFormat="1" x14ac:dyDescent="0.25">
      <c r="A438" s="141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AJ438" s="142"/>
      <c r="AK438" s="142"/>
      <c r="AL438" s="136"/>
      <c r="AM438" s="136"/>
      <c r="AN438" s="136"/>
    </row>
    <row r="439" spans="1:40" s="95" customFormat="1" x14ac:dyDescent="0.25">
      <c r="A439" s="141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AJ439" s="142"/>
      <c r="AK439" s="142"/>
      <c r="AL439" s="136"/>
      <c r="AM439" s="136"/>
      <c r="AN439" s="136"/>
    </row>
    <row r="440" spans="1:40" s="95" customFormat="1" x14ac:dyDescent="0.25">
      <c r="A440" s="141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AJ440" s="142"/>
      <c r="AK440" s="142"/>
      <c r="AL440" s="136"/>
      <c r="AM440" s="136"/>
      <c r="AN440" s="136"/>
    </row>
    <row r="441" spans="1:40" s="95" customFormat="1" x14ac:dyDescent="0.25">
      <c r="A441" s="141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AJ441" s="142"/>
      <c r="AK441" s="142"/>
      <c r="AL441" s="136"/>
      <c r="AM441" s="136"/>
      <c r="AN441" s="136"/>
    </row>
    <row r="442" spans="1:40" s="95" customFormat="1" x14ac:dyDescent="0.25">
      <c r="A442" s="141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AJ442" s="142"/>
      <c r="AK442" s="142"/>
      <c r="AL442" s="136"/>
      <c r="AM442" s="136"/>
      <c r="AN442" s="136"/>
    </row>
    <row r="443" spans="1:40" s="95" customFormat="1" x14ac:dyDescent="0.25">
      <c r="A443" s="141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AJ443" s="142"/>
      <c r="AK443" s="142"/>
      <c r="AL443" s="136"/>
      <c r="AM443" s="136"/>
      <c r="AN443" s="136"/>
    </row>
    <row r="444" spans="1:40" s="95" customFormat="1" x14ac:dyDescent="0.25">
      <c r="A444" s="141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AJ444" s="142"/>
      <c r="AK444" s="142"/>
      <c r="AL444" s="136"/>
      <c r="AM444" s="136"/>
      <c r="AN444" s="136"/>
    </row>
    <row r="445" spans="1:40" s="95" customFormat="1" x14ac:dyDescent="0.25">
      <c r="A445" s="141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AJ445" s="142"/>
      <c r="AK445" s="142"/>
      <c r="AL445" s="136"/>
      <c r="AM445" s="136"/>
      <c r="AN445" s="136"/>
    </row>
    <row r="446" spans="1:40" s="95" customFormat="1" x14ac:dyDescent="0.25">
      <c r="A446" s="141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AJ446" s="142"/>
      <c r="AK446" s="142"/>
      <c r="AL446" s="136"/>
      <c r="AM446" s="136"/>
      <c r="AN446" s="136"/>
    </row>
    <row r="447" spans="1:40" s="95" customFormat="1" x14ac:dyDescent="0.25">
      <c r="A447" s="141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AJ447" s="142"/>
      <c r="AK447" s="142"/>
      <c r="AL447" s="136"/>
      <c r="AM447" s="136"/>
      <c r="AN447" s="136"/>
    </row>
    <row r="448" spans="1:40" s="95" customFormat="1" x14ac:dyDescent="0.25">
      <c r="A448" s="141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AJ448" s="142"/>
      <c r="AK448" s="142"/>
      <c r="AL448" s="136"/>
      <c r="AM448" s="136"/>
      <c r="AN448" s="136"/>
    </row>
    <row r="449" spans="1:40" s="95" customFormat="1" x14ac:dyDescent="0.25">
      <c r="A449" s="141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AJ449" s="142"/>
      <c r="AK449" s="142"/>
      <c r="AL449" s="136"/>
      <c r="AM449" s="136"/>
      <c r="AN449" s="136"/>
    </row>
    <row r="450" spans="1:40" s="95" customFormat="1" x14ac:dyDescent="0.25">
      <c r="A450" s="141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AJ450" s="142"/>
      <c r="AK450" s="142"/>
      <c r="AL450" s="136"/>
      <c r="AM450" s="136"/>
      <c r="AN450" s="136"/>
    </row>
    <row r="451" spans="1:40" s="95" customFormat="1" x14ac:dyDescent="0.25">
      <c r="A451" s="141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AJ451" s="142"/>
      <c r="AK451" s="142"/>
      <c r="AL451" s="136"/>
      <c r="AM451" s="136"/>
      <c r="AN451" s="136"/>
    </row>
    <row r="452" spans="1:40" s="95" customFormat="1" x14ac:dyDescent="0.25">
      <c r="A452" s="141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AJ452" s="142"/>
      <c r="AK452" s="142"/>
      <c r="AL452" s="136"/>
      <c r="AM452" s="136"/>
      <c r="AN452" s="136"/>
    </row>
    <row r="453" spans="1:40" s="95" customFormat="1" x14ac:dyDescent="0.25">
      <c r="A453" s="141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AJ453" s="142"/>
      <c r="AK453" s="142"/>
      <c r="AL453" s="136"/>
      <c r="AM453" s="136"/>
      <c r="AN453" s="136"/>
    </row>
    <row r="454" spans="1:40" s="95" customFormat="1" x14ac:dyDescent="0.25">
      <c r="A454" s="141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AJ454" s="142"/>
      <c r="AK454" s="142"/>
      <c r="AL454" s="136"/>
      <c r="AM454" s="136"/>
      <c r="AN454" s="136"/>
    </row>
    <row r="455" spans="1:40" s="95" customFormat="1" x14ac:dyDescent="0.25">
      <c r="A455" s="141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AJ455" s="142"/>
      <c r="AK455" s="142"/>
      <c r="AL455" s="136"/>
      <c r="AM455" s="136"/>
      <c r="AN455" s="136"/>
    </row>
    <row r="456" spans="1:40" s="95" customFormat="1" x14ac:dyDescent="0.25">
      <c r="A456" s="141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AJ456" s="142"/>
      <c r="AK456" s="142"/>
      <c r="AL456" s="136"/>
      <c r="AM456" s="136"/>
      <c r="AN456" s="136"/>
    </row>
    <row r="457" spans="1:40" s="95" customFormat="1" x14ac:dyDescent="0.25">
      <c r="A457" s="141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AJ457" s="142"/>
      <c r="AK457" s="142"/>
      <c r="AL457" s="136"/>
      <c r="AM457" s="136"/>
      <c r="AN457" s="136"/>
    </row>
    <row r="458" spans="1:40" s="95" customFormat="1" x14ac:dyDescent="0.25">
      <c r="A458" s="141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AJ458" s="142"/>
      <c r="AK458" s="142"/>
      <c r="AL458" s="136"/>
      <c r="AM458" s="136"/>
      <c r="AN458" s="136"/>
    </row>
    <row r="459" spans="1:40" s="95" customFormat="1" x14ac:dyDescent="0.25">
      <c r="A459" s="141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AJ459" s="142"/>
      <c r="AK459" s="142"/>
      <c r="AL459" s="136"/>
      <c r="AM459" s="136"/>
      <c r="AN459" s="136"/>
    </row>
    <row r="460" spans="1:40" s="95" customFormat="1" x14ac:dyDescent="0.25">
      <c r="A460" s="141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AJ460" s="142"/>
      <c r="AK460" s="142"/>
      <c r="AL460" s="136"/>
      <c r="AM460" s="136"/>
      <c r="AN460" s="136"/>
    </row>
    <row r="461" spans="1:40" s="95" customFormat="1" x14ac:dyDescent="0.25">
      <c r="A461" s="141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AJ461" s="142"/>
      <c r="AK461" s="142"/>
      <c r="AL461" s="136"/>
      <c r="AM461" s="136"/>
      <c r="AN461" s="136"/>
    </row>
    <row r="462" spans="1:40" s="95" customFormat="1" x14ac:dyDescent="0.25">
      <c r="A462" s="141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AJ462" s="142"/>
      <c r="AK462" s="142"/>
      <c r="AL462" s="136"/>
      <c r="AM462" s="136"/>
      <c r="AN462" s="136"/>
    </row>
    <row r="463" spans="1:40" s="95" customFormat="1" x14ac:dyDescent="0.25">
      <c r="A463" s="141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AJ463" s="142"/>
      <c r="AK463" s="142"/>
      <c r="AL463" s="136"/>
      <c r="AM463" s="136"/>
      <c r="AN463" s="136"/>
    </row>
    <row r="464" spans="1:40" s="95" customFormat="1" x14ac:dyDescent="0.25">
      <c r="A464" s="141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AJ464" s="142"/>
      <c r="AK464" s="142"/>
      <c r="AL464" s="136"/>
      <c r="AM464" s="136"/>
      <c r="AN464" s="136"/>
    </row>
    <row r="465" spans="1:40" s="95" customFormat="1" x14ac:dyDescent="0.25">
      <c r="A465" s="141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AJ465" s="142"/>
      <c r="AK465" s="142"/>
      <c r="AL465" s="136"/>
      <c r="AM465" s="136"/>
      <c r="AN465" s="136"/>
    </row>
    <row r="466" spans="1:40" s="95" customFormat="1" x14ac:dyDescent="0.25">
      <c r="A466" s="141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AJ466" s="142"/>
      <c r="AK466" s="142"/>
      <c r="AL466" s="136"/>
      <c r="AM466" s="136"/>
      <c r="AN466" s="136"/>
    </row>
    <row r="467" spans="1:40" s="95" customFormat="1" x14ac:dyDescent="0.25">
      <c r="A467" s="141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AJ467" s="142"/>
      <c r="AK467" s="142"/>
      <c r="AL467" s="136"/>
      <c r="AM467" s="136"/>
      <c r="AN467" s="136"/>
    </row>
    <row r="468" spans="1:40" s="95" customFormat="1" x14ac:dyDescent="0.25">
      <c r="A468" s="141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AJ468" s="142"/>
      <c r="AK468" s="142"/>
      <c r="AL468" s="136"/>
      <c r="AM468" s="136"/>
      <c r="AN468" s="136"/>
    </row>
    <row r="469" spans="1:40" s="95" customFormat="1" x14ac:dyDescent="0.25">
      <c r="A469" s="141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AJ469" s="142"/>
      <c r="AK469" s="142"/>
      <c r="AL469" s="136"/>
      <c r="AM469" s="136"/>
      <c r="AN469" s="136"/>
    </row>
    <row r="470" spans="1:40" s="95" customFormat="1" x14ac:dyDescent="0.25">
      <c r="A470" s="141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AJ470" s="142"/>
      <c r="AK470" s="142"/>
      <c r="AL470" s="136"/>
      <c r="AM470" s="136"/>
      <c r="AN470" s="136"/>
    </row>
    <row r="471" spans="1:40" s="95" customFormat="1" x14ac:dyDescent="0.25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AJ471" s="142"/>
      <c r="AK471" s="142"/>
      <c r="AL471" s="136"/>
      <c r="AM471" s="136"/>
      <c r="AN471" s="136"/>
    </row>
    <row r="472" spans="1:40" s="95" customFormat="1" x14ac:dyDescent="0.25">
      <c r="A472" s="141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AJ472" s="142"/>
      <c r="AK472" s="142"/>
      <c r="AL472" s="136"/>
      <c r="AM472" s="136"/>
      <c r="AN472" s="136"/>
    </row>
    <row r="473" spans="1:40" s="95" customFormat="1" x14ac:dyDescent="0.25">
      <c r="A473" s="141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AJ473" s="142"/>
      <c r="AK473" s="142"/>
      <c r="AL473" s="136"/>
      <c r="AM473" s="136"/>
      <c r="AN473" s="136"/>
    </row>
    <row r="474" spans="1:40" s="95" customFormat="1" x14ac:dyDescent="0.25">
      <c r="A474" s="141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AJ474" s="142"/>
      <c r="AK474" s="142"/>
      <c r="AL474" s="136"/>
      <c r="AM474" s="136"/>
      <c r="AN474" s="136"/>
    </row>
    <row r="475" spans="1:40" s="95" customFormat="1" x14ac:dyDescent="0.25">
      <c r="A475" s="141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AJ475" s="142"/>
      <c r="AK475" s="142"/>
      <c r="AL475" s="136"/>
      <c r="AM475" s="136"/>
      <c r="AN475" s="136"/>
    </row>
    <row r="476" spans="1:40" s="95" customFormat="1" x14ac:dyDescent="0.25">
      <c r="A476" s="141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AJ476" s="142"/>
      <c r="AK476" s="142"/>
      <c r="AL476" s="136"/>
      <c r="AM476" s="136"/>
      <c r="AN476" s="136"/>
    </row>
    <row r="477" spans="1:40" s="95" customFormat="1" x14ac:dyDescent="0.25">
      <c r="A477" s="141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AJ477" s="142"/>
      <c r="AK477" s="142"/>
      <c r="AL477" s="136"/>
      <c r="AM477" s="136"/>
      <c r="AN477" s="136"/>
    </row>
    <row r="478" spans="1:40" s="95" customFormat="1" x14ac:dyDescent="0.25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AJ478" s="142"/>
      <c r="AK478" s="142"/>
      <c r="AL478" s="136"/>
      <c r="AM478" s="136"/>
      <c r="AN478" s="136"/>
    </row>
    <row r="479" spans="1:40" s="95" customFormat="1" x14ac:dyDescent="0.25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AJ479" s="142"/>
      <c r="AK479" s="142"/>
      <c r="AL479" s="136"/>
      <c r="AM479" s="136"/>
      <c r="AN479" s="136"/>
    </row>
    <row r="480" spans="1:40" s="95" customFormat="1" x14ac:dyDescent="0.25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AJ480" s="142"/>
      <c r="AK480" s="142"/>
      <c r="AL480" s="136"/>
      <c r="AM480" s="136"/>
      <c r="AN480" s="136"/>
    </row>
    <row r="481" spans="1:40" s="95" customFormat="1" x14ac:dyDescent="0.25">
      <c r="A481" s="141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AJ481" s="142"/>
      <c r="AK481" s="142"/>
      <c r="AL481" s="136"/>
      <c r="AM481" s="136"/>
      <c r="AN481" s="136"/>
    </row>
    <row r="482" spans="1:40" s="95" customFormat="1" x14ac:dyDescent="0.25">
      <c r="A482" s="141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AJ482" s="142"/>
      <c r="AK482" s="142"/>
      <c r="AL482" s="136"/>
      <c r="AM482" s="136"/>
      <c r="AN482" s="136"/>
    </row>
    <row r="483" spans="1:40" s="95" customFormat="1" x14ac:dyDescent="0.25">
      <c r="A483" s="141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AJ483" s="142"/>
      <c r="AK483" s="142"/>
      <c r="AL483" s="136"/>
      <c r="AM483" s="136"/>
      <c r="AN483" s="136"/>
    </row>
    <row r="484" spans="1:40" s="95" customFormat="1" x14ac:dyDescent="0.25">
      <c r="A484" s="141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AJ484" s="142"/>
      <c r="AK484" s="142"/>
      <c r="AL484" s="136"/>
      <c r="AM484" s="136"/>
      <c r="AN484" s="136"/>
    </row>
    <row r="485" spans="1:40" s="95" customFormat="1" x14ac:dyDescent="0.25">
      <c r="A485" s="141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AJ485" s="142"/>
      <c r="AK485" s="142"/>
      <c r="AL485" s="136"/>
      <c r="AM485" s="136"/>
      <c r="AN485" s="136"/>
    </row>
    <row r="486" spans="1:40" s="95" customFormat="1" x14ac:dyDescent="0.25">
      <c r="A486" s="141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AJ486" s="142"/>
      <c r="AK486" s="142"/>
      <c r="AL486" s="136"/>
      <c r="AM486" s="136"/>
      <c r="AN486" s="136"/>
    </row>
    <row r="487" spans="1:40" s="95" customFormat="1" x14ac:dyDescent="0.25">
      <c r="A487" s="141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AJ487" s="142"/>
      <c r="AK487" s="142"/>
      <c r="AL487" s="136"/>
      <c r="AM487" s="136"/>
      <c r="AN487" s="136"/>
    </row>
    <row r="488" spans="1:40" s="95" customFormat="1" x14ac:dyDescent="0.25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AJ488" s="142"/>
      <c r="AK488" s="142"/>
      <c r="AL488" s="136"/>
      <c r="AM488" s="136"/>
      <c r="AN488" s="136"/>
    </row>
    <row r="489" spans="1:40" s="95" customFormat="1" x14ac:dyDescent="0.25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AJ489" s="142"/>
      <c r="AK489" s="142"/>
      <c r="AL489" s="136"/>
      <c r="AM489" s="136"/>
      <c r="AN489" s="136"/>
    </row>
    <row r="490" spans="1:40" s="95" customFormat="1" x14ac:dyDescent="0.25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AJ490" s="142"/>
      <c r="AK490" s="142"/>
      <c r="AL490" s="136"/>
      <c r="AM490" s="136"/>
      <c r="AN490" s="136"/>
    </row>
    <row r="491" spans="1:40" s="95" customFormat="1" x14ac:dyDescent="0.25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AJ491" s="142"/>
      <c r="AK491" s="142"/>
      <c r="AL491" s="136"/>
      <c r="AM491" s="136"/>
      <c r="AN491" s="136"/>
    </row>
    <row r="492" spans="1:40" s="95" customFormat="1" x14ac:dyDescent="0.25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AJ492" s="142"/>
      <c r="AK492" s="142"/>
      <c r="AL492" s="136"/>
      <c r="AM492" s="136"/>
      <c r="AN492" s="136"/>
    </row>
    <row r="493" spans="1:40" s="95" customFormat="1" x14ac:dyDescent="0.25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AJ493" s="142"/>
      <c r="AK493" s="142"/>
      <c r="AL493" s="136"/>
      <c r="AM493" s="136"/>
      <c r="AN493" s="136"/>
    </row>
    <row r="494" spans="1:40" s="95" customFormat="1" x14ac:dyDescent="0.25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AJ494" s="142"/>
      <c r="AK494" s="142"/>
      <c r="AL494" s="136"/>
      <c r="AM494" s="136"/>
      <c r="AN494" s="136"/>
    </row>
    <row r="495" spans="1:40" s="95" customFormat="1" x14ac:dyDescent="0.25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AJ495" s="142"/>
      <c r="AK495" s="142"/>
      <c r="AL495" s="136"/>
      <c r="AM495" s="136"/>
      <c r="AN495" s="136"/>
    </row>
    <row r="496" spans="1:40" s="95" customFormat="1" x14ac:dyDescent="0.25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AJ496" s="142"/>
      <c r="AK496" s="142"/>
      <c r="AL496" s="136"/>
      <c r="AM496" s="136"/>
      <c r="AN496" s="136"/>
    </row>
    <row r="497" spans="1:40" s="95" customFormat="1" x14ac:dyDescent="0.25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AJ497" s="142"/>
      <c r="AK497" s="142"/>
      <c r="AL497" s="136"/>
      <c r="AM497" s="136"/>
      <c r="AN497" s="136"/>
    </row>
    <row r="498" spans="1:40" s="95" customFormat="1" x14ac:dyDescent="0.25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AJ498" s="142"/>
      <c r="AK498" s="142"/>
      <c r="AL498" s="136"/>
      <c r="AM498" s="136"/>
      <c r="AN498" s="136"/>
    </row>
    <row r="499" spans="1:40" s="95" customFormat="1" x14ac:dyDescent="0.25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AJ499" s="142"/>
      <c r="AK499" s="142"/>
      <c r="AL499" s="136"/>
      <c r="AM499" s="136"/>
      <c r="AN499" s="136"/>
    </row>
    <row r="500" spans="1:40" s="95" customFormat="1" x14ac:dyDescent="0.25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AJ500" s="142"/>
      <c r="AK500" s="142"/>
      <c r="AL500" s="136"/>
      <c r="AM500" s="136"/>
      <c r="AN500" s="136"/>
    </row>
    <row r="501" spans="1:40" s="95" customFormat="1" x14ac:dyDescent="0.25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AJ501" s="142"/>
      <c r="AK501" s="142"/>
      <c r="AL501" s="136"/>
      <c r="AM501" s="136"/>
      <c r="AN501" s="136"/>
    </row>
    <row r="502" spans="1:40" s="95" customFormat="1" x14ac:dyDescent="0.25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AJ502" s="142"/>
      <c r="AK502" s="142"/>
      <c r="AL502" s="136"/>
      <c r="AM502" s="136"/>
      <c r="AN502" s="136"/>
    </row>
    <row r="503" spans="1:40" s="95" customFormat="1" x14ac:dyDescent="0.25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AJ503" s="142"/>
      <c r="AK503" s="142"/>
      <c r="AL503" s="136"/>
      <c r="AM503" s="136"/>
      <c r="AN503" s="136"/>
    </row>
    <row r="504" spans="1:40" s="95" customFormat="1" x14ac:dyDescent="0.25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AJ504" s="142"/>
      <c r="AK504" s="142"/>
      <c r="AL504" s="136"/>
      <c r="AM504" s="136"/>
      <c r="AN504" s="136"/>
    </row>
    <row r="505" spans="1:40" s="95" customFormat="1" x14ac:dyDescent="0.25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AJ505" s="142"/>
      <c r="AK505" s="142"/>
      <c r="AL505" s="136"/>
      <c r="AM505" s="136"/>
      <c r="AN505" s="136"/>
    </row>
    <row r="506" spans="1:40" s="95" customFormat="1" x14ac:dyDescent="0.25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AJ506" s="142"/>
      <c r="AK506" s="142"/>
      <c r="AL506" s="136"/>
      <c r="AM506" s="136"/>
      <c r="AN506" s="136"/>
    </row>
    <row r="507" spans="1:40" s="95" customFormat="1" x14ac:dyDescent="0.25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AJ507" s="142"/>
      <c r="AK507" s="142"/>
      <c r="AL507" s="136"/>
      <c r="AM507" s="136"/>
      <c r="AN507" s="136"/>
    </row>
    <row r="508" spans="1:40" s="95" customFormat="1" x14ac:dyDescent="0.25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AJ508" s="142"/>
      <c r="AK508" s="142"/>
      <c r="AL508" s="136"/>
      <c r="AM508" s="136"/>
      <c r="AN508" s="136"/>
    </row>
    <row r="509" spans="1:40" s="95" customFormat="1" x14ac:dyDescent="0.25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AJ509" s="142"/>
      <c r="AK509" s="142"/>
      <c r="AL509" s="136"/>
      <c r="AM509" s="136"/>
      <c r="AN509" s="136"/>
    </row>
    <row r="510" spans="1:40" s="95" customFormat="1" x14ac:dyDescent="0.25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AJ510" s="142"/>
      <c r="AK510" s="142"/>
      <c r="AL510" s="136"/>
      <c r="AM510" s="136"/>
      <c r="AN510" s="136"/>
    </row>
    <row r="511" spans="1:40" s="95" customFormat="1" x14ac:dyDescent="0.25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AJ511" s="142"/>
      <c r="AK511" s="142"/>
      <c r="AL511" s="136"/>
      <c r="AM511" s="136"/>
      <c r="AN511" s="136"/>
    </row>
    <row r="512" spans="1:40" s="95" customFormat="1" x14ac:dyDescent="0.25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AJ512" s="142"/>
      <c r="AK512" s="142"/>
      <c r="AL512" s="136"/>
      <c r="AM512" s="136"/>
      <c r="AN512" s="136"/>
    </row>
    <row r="513" spans="1:40" s="95" customFormat="1" x14ac:dyDescent="0.25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AJ513" s="142"/>
      <c r="AK513" s="142"/>
      <c r="AL513" s="136"/>
      <c r="AM513" s="136"/>
      <c r="AN513" s="136"/>
    </row>
    <row r="514" spans="1:40" s="95" customFormat="1" x14ac:dyDescent="0.25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AJ514" s="142"/>
      <c r="AK514" s="142"/>
      <c r="AL514" s="136"/>
      <c r="AM514" s="136"/>
      <c r="AN514" s="136"/>
    </row>
    <row r="515" spans="1:40" s="95" customFormat="1" x14ac:dyDescent="0.25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AJ515" s="142"/>
      <c r="AK515" s="142"/>
      <c r="AL515" s="136"/>
      <c r="AM515" s="136"/>
      <c r="AN515" s="136"/>
    </row>
    <row r="516" spans="1:40" s="95" customFormat="1" x14ac:dyDescent="0.25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AJ516" s="142"/>
      <c r="AK516" s="142"/>
      <c r="AL516" s="136"/>
      <c r="AM516" s="136"/>
      <c r="AN516" s="136"/>
    </row>
    <row r="517" spans="1:40" s="95" customFormat="1" x14ac:dyDescent="0.25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AJ517" s="142"/>
      <c r="AK517" s="142"/>
      <c r="AL517" s="136"/>
      <c r="AM517" s="136"/>
      <c r="AN517" s="136"/>
    </row>
    <row r="518" spans="1:40" s="95" customFormat="1" x14ac:dyDescent="0.25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AJ518" s="142"/>
      <c r="AK518" s="142"/>
      <c r="AL518" s="136"/>
      <c r="AM518" s="136"/>
      <c r="AN518" s="136"/>
    </row>
    <row r="519" spans="1:40" s="95" customFormat="1" x14ac:dyDescent="0.25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AJ519" s="142"/>
      <c r="AK519" s="142"/>
      <c r="AL519" s="136"/>
      <c r="AM519" s="136"/>
      <c r="AN519" s="136"/>
    </row>
    <row r="520" spans="1:40" s="95" customFormat="1" x14ac:dyDescent="0.25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AJ520" s="142"/>
      <c r="AK520" s="142"/>
      <c r="AL520" s="136"/>
      <c r="AM520" s="136"/>
      <c r="AN520" s="136"/>
    </row>
    <row r="521" spans="1:40" s="95" customFormat="1" x14ac:dyDescent="0.25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AJ521" s="142"/>
      <c r="AK521" s="142"/>
      <c r="AL521" s="136"/>
      <c r="AM521" s="136"/>
      <c r="AN521" s="136"/>
    </row>
    <row r="522" spans="1:40" s="95" customFormat="1" x14ac:dyDescent="0.25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AJ522" s="142"/>
      <c r="AK522" s="142"/>
      <c r="AL522" s="136"/>
      <c r="AM522" s="136"/>
      <c r="AN522" s="136"/>
    </row>
    <row r="523" spans="1:40" s="95" customFormat="1" x14ac:dyDescent="0.25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AJ523" s="142"/>
      <c r="AK523" s="142"/>
      <c r="AL523" s="136"/>
      <c r="AM523" s="136"/>
      <c r="AN523" s="136"/>
    </row>
    <row r="524" spans="1:40" s="95" customFormat="1" x14ac:dyDescent="0.25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AJ524" s="142"/>
      <c r="AK524" s="142"/>
      <c r="AL524" s="136"/>
      <c r="AM524" s="136"/>
      <c r="AN524" s="136"/>
    </row>
    <row r="525" spans="1:40" s="95" customFormat="1" x14ac:dyDescent="0.25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AJ525" s="142"/>
      <c r="AK525" s="142"/>
      <c r="AL525" s="136"/>
      <c r="AM525" s="136"/>
      <c r="AN525" s="136"/>
    </row>
    <row r="526" spans="1:40" s="95" customFormat="1" x14ac:dyDescent="0.25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AJ526" s="142"/>
      <c r="AK526" s="142"/>
      <c r="AL526" s="136"/>
      <c r="AM526" s="136"/>
      <c r="AN526" s="136"/>
    </row>
    <row r="527" spans="1:40" s="95" customFormat="1" x14ac:dyDescent="0.25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AJ527" s="142"/>
      <c r="AK527" s="142"/>
      <c r="AL527" s="136"/>
      <c r="AM527" s="136"/>
      <c r="AN527" s="136"/>
    </row>
    <row r="528" spans="1:40" s="95" customFormat="1" x14ac:dyDescent="0.25">
      <c r="A528" s="141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AJ528" s="142"/>
      <c r="AK528" s="142"/>
      <c r="AL528" s="136"/>
      <c r="AM528" s="136"/>
      <c r="AN528" s="136"/>
    </row>
    <row r="529" spans="1:40" s="95" customFormat="1" x14ac:dyDescent="0.25">
      <c r="A529" s="141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AJ529" s="142"/>
      <c r="AK529" s="142"/>
      <c r="AL529" s="136"/>
      <c r="AM529" s="136"/>
      <c r="AN529" s="136"/>
    </row>
    <row r="530" spans="1:40" s="95" customFormat="1" x14ac:dyDescent="0.25">
      <c r="A530" s="141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AJ530" s="142"/>
      <c r="AK530" s="142"/>
      <c r="AL530" s="136"/>
      <c r="AM530" s="136"/>
      <c r="AN530" s="136"/>
    </row>
    <row r="531" spans="1:40" s="95" customFormat="1" x14ac:dyDescent="0.25">
      <c r="A531" s="141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AJ531" s="142"/>
      <c r="AK531" s="142"/>
      <c r="AL531" s="136"/>
      <c r="AM531" s="136"/>
      <c r="AN531" s="136"/>
    </row>
    <row r="532" spans="1:40" s="95" customFormat="1" x14ac:dyDescent="0.25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AJ532" s="142"/>
      <c r="AK532" s="142"/>
      <c r="AL532" s="136"/>
      <c r="AM532" s="136"/>
      <c r="AN532" s="136"/>
    </row>
    <row r="533" spans="1:40" s="95" customFormat="1" x14ac:dyDescent="0.25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AJ533" s="142"/>
      <c r="AK533" s="142"/>
      <c r="AL533" s="136"/>
      <c r="AM533" s="136"/>
      <c r="AN533" s="136"/>
    </row>
    <row r="534" spans="1:40" s="95" customFormat="1" x14ac:dyDescent="0.25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AJ534" s="142"/>
      <c r="AK534" s="142"/>
      <c r="AL534" s="136"/>
      <c r="AM534" s="136"/>
      <c r="AN534" s="136"/>
    </row>
    <row r="535" spans="1:40" s="95" customFormat="1" x14ac:dyDescent="0.25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AJ535" s="142"/>
      <c r="AK535" s="142"/>
      <c r="AL535" s="136"/>
      <c r="AM535" s="136"/>
      <c r="AN535" s="136"/>
    </row>
    <row r="536" spans="1:40" s="95" customFormat="1" x14ac:dyDescent="0.25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AJ536" s="142"/>
      <c r="AK536" s="142"/>
      <c r="AL536" s="136"/>
      <c r="AM536" s="136"/>
      <c r="AN536" s="136"/>
    </row>
    <row r="537" spans="1:40" s="95" customFormat="1" x14ac:dyDescent="0.25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AJ537" s="142"/>
      <c r="AK537" s="142"/>
      <c r="AL537" s="136"/>
      <c r="AM537" s="136"/>
      <c r="AN537" s="136"/>
    </row>
    <row r="538" spans="1:40" s="95" customFormat="1" x14ac:dyDescent="0.25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AJ538" s="142"/>
      <c r="AK538" s="142"/>
      <c r="AL538" s="136"/>
      <c r="AM538" s="136"/>
      <c r="AN538" s="136"/>
    </row>
    <row r="539" spans="1:40" s="95" customFormat="1" x14ac:dyDescent="0.25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AJ539" s="142"/>
      <c r="AK539" s="142"/>
      <c r="AL539" s="136"/>
      <c r="AM539" s="136"/>
      <c r="AN539" s="136"/>
    </row>
    <row r="540" spans="1:40" s="95" customFormat="1" x14ac:dyDescent="0.25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AJ540" s="142"/>
      <c r="AK540" s="142"/>
      <c r="AL540" s="136"/>
      <c r="AM540" s="136"/>
      <c r="AN540" s="136"/>
    </row>
    <row r="541" spans="1:40" s="95" customFormat="1" x14ac:dyDescent="0.25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AJ541" s="142"/>
      <c r="AK541" s="142"/>
      <c r="AL541" s="136"/>
      <c r="AM541" s="136"/>
      <c r="AN541" s="136"/>
    </row>
    <row r="542" spans="1:40" s="95" customFormat="1" x14ac:dyDescent="0.25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AJ542" s="142"/>
      <c r="AK542" s="142"/>
      <c r="AL542" s="136"/>
      <c r="AM542" s="136"/>
      <c r="AN542" s="136"/>
    </row>
    <row r="543" spans="1:40" s="95" customFormat="1" x14ac:dyDescent="0.25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AJ543" s="142"/>
      <c r="AK543" s="142"/>
      <c r="AL543" s="136"/>
      <c r="AM543" s="136"/>
      <c r="AN543" s="136"/>
    </row>
    <row r="544" spans="1:40" s="95" customFormat="1" x14ac:dyDescent="0.25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AJ544" s="142"/>
      <c r="AK544" s="142"/>
      <c r="AL544" s="136"/>
      <c r="AM544" s="136"/>
      <c r="AN544" s="136"/>
    </row>
    <row r="545" spans="1:40" s="95" customFormat="1" x14ac:dyDescent="0.25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AJ545" s="142"/>
      <c r="AK545" s="142"/>
      <c r="AL545" s="136"/>
      <c r="AM545" s="136"/>
      <c r="AN545" s="136"/>
    </row>
    <row r="546" spans="1:40" s="95" customFormat="1" x14ac:dyDescent="0.25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AJ546" s="142"/>
      <c r="AK546" s="142"/>
      <c r="AL546" s="136"/>
      <c r="AM546" s="136"/>
      <c r="AN546" s="136"/>
    </row>
    <row r="547" spans="1:40" s="95" customFormat="1" x14ac:dyDescent="0.25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AJ547" s="142"/>
      <c r="AK547" s="142"/>
      <c r="AL547" s="136"/>
      <c r="AM547" s="136"/>
      <c r="AN547" s="136"/>
    </row>
    <row r="548" spans="1:40" s="95" customFormat="1" x14ac:dyDescent="0.25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AJ548" s="142"/>
      <c r="AK548" s="142"/>
      <c r="AL548" s="136"/>
      <c r="AM548" s="136"/>
      <c r="AN548" s="136"/>
    </row>
    <row r="549" spans="1:40" s="95" customFormat="1" x14ac:dyDescent="0.25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AJ549" s="142"/>
      <c r="AK549" s="142"/>
      <c r="AL549" s="136"/>
      <c r="AM549" s="136"/>
      <c r="AN549" s="136"/>
    </row>
    <row r="550" spans="1:40" s="95" customFormat="1" x14ac:dyDescent="0.25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AJ550" s="142"/>
      <c r="AK550" s="142"/>
      <c r="AL550" s="136"/>
      <c r="AM550" s="136"/>
      <c r="AN550" s="136"/>
    </row>
    <row r="551" spans="1:40" s="95" customFormat="1" x14ac:dyDescent="0.25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AJ551" s="142"/>
      <c r="AK551" s="142"/>
      <c r="AL551" s="136"/>
      <c r="AM551" s="136"/>
      <c r="AN551" s="136"/>
    </row>
    <row r="552" spans="1:40" s="95" customFormat="1" x14ac:dyDescent="0.25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AJ552" s="142"/>
      <c r="AK552" s="142"/>
      <c r="AL552" s="136"/>
      <c r="AM552" s="136"/>
      <c r="AN552" s="136"/>
    </row>
    <row r="553" spans="1:40" s="95" customFormat="1" x14ac:dyDescent="0.25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AJ553" s="142"/>
      <c r="AK553" s="142"/>
      <c r="AL553" s="136"/>
      <c r="AM553" s="136"/>
      <c r="AN553" s="136"/>
    </row>
    <row r="554" spans="1:40" s="95" customFormat="1" x14ac:dyDescent="0.25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AJ554" s="142"/>
      <c r="AK554" s="142"/>
      <c r="AL554" s="136"/>
      <c r="AM554" s="136"/>
      <c r="AN554" s="136"/>
    </row>
    <row r="555" spans="1:40" s="95" customFormat="1" x14ac:dyDescent="0.25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AJ555" s="142"/>
      <c r="AK555" s="142"/>
      <c r="AL555" s="136"/>
      <c r="AM555" s="136"/>
      <c r="AN555" s="136"/>
    </row>
    <row r="556" spans="1:40" s="95" customFormat="1" x14ac:dyDescent="0.25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AJ556" s="142"/>
      <c r="AK556" s="142"/>
      <c r="AL556" s="136"/>
      <c r="AM556" s="136"/>
      <c r="AN556" s="136"/>
    </row>
    <row r="557" spans="1:40" s="95" customFormat="1" x14ac:dyDescent="0.25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AJ557" s="142"/>
      <c r="AK557" s="142"/>
      <c r="AL557" s="136"/>
      <c r="AM557" s="136"/>
      <c r="AN557" s="136"/>
    </row>
    <row r="558" spans="1:40" s="95" customFormat="1" x14ac:dyDescent="0.25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AJ558" s="142"/>
      <c r="AK558" s="142"/>
      <c r="AL558" s="136"/>
      <c r="AM558" s="136"/>
      <c r="AN558" s="136"/>
    </row>
    <row r="559" spans="1:40" s="95" customFormat="1" x14ac:dyDescent="0.25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AJ559" s="142"/>
      <c r="AK559" s="142"/>
      <c r="AL559" s="136"/>
      <c r="AM559" s="136"/>
      <c r="AN559" s="136"/>
    </row>
    <row r="560" spans="1:40" s="95" customFormat="1" x14ac:dyDescent="0.25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AJ560" s="142"/>
      <c r="AK560" s="142"/>
      <c r="AL560" s="136"/>
      <c r="AM560" s="136"/>
      <c r="AN560" s="136"/>
    </row>
    <row r="561" spans="1:40" s="95" customFormat="1" x14ac:dyDescent="0.25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AJ561" s="142"/>
      <c r="AK561" s="142"/>
      <c r="AL561" s="136"/>
      <c r="AM561" s="136"/>
      <c r="AN561" s="136"/>
    </row>
    <row r="562" spans="1:40" s="95" customFormat="1" x14ac:dyDescent="0.25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AJ562" s="142"/>
      <c r="AK562" s="142"/>
      <c r="AL562" s="136"/>
      <c r="AM562" s="136"/>
      <c r="AN562" s="136"/>
    </row>
    <row r="563" spans="1:40" s="95" customFormat="1" x14ac:dyDescent="0.25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AJ563" s="142"/>
      <c r="AK563" s="142"/>
      <c r="AL563" s="136"/>
      <c r="AM563" s="136"/>
      <c r="AN563" s="136"/>
    </row>
    <row r="564" spans="1:40" s="95" customFormat="1" x14ac:dyDescent="0.25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AJ564" s="142"/>
      <c r="AK564" s="142"/>
      <c r="AL564" s="136"/>
      <c r="AM564" s="136"/>
      <c r="AN564" s="136"/>
    </row>
    <row r="565" spans="1:40" s="95" customFormat="1" x14ac:dyDescent="0.25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AJ565" s="142"/>
      <c r="AK565" s="142"/>
      <c r="AL565" s="136"/>
      <c r="AM565" s="136"/>
      <c r="AN565" s="136"/>
    </row>
    <row r="566" spans="1:40" s="95" customFormat="1" x14ac:dyDescent="0.25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AJ566" s="142"/>
      <c r="AK566" s="142"/>
      <c r="AL566" s="136"/>
      <c r="AM566" s="136"/>
      <c r="AN566" s="136"/>
    </row>
    <row r="567" spans="1:40" s="95" customFormat="1" x14ac:dyDescent="0.25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AJ567" s="142"/>
      <c r="AK567" s="142"/>
      <c r="AL567" s="136"/>
      <c r="AM567" s="136"/>
      <c r="AN567" s="136"/>
    </row>
    <row r="568" spans="1:40" s="95" customFormat="1" x14ac:dyDescent="0.25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AJ568" s="142"/>
      <c r="AK568" s="142"/>
      <c r="AL568" s="136"/>
      <c r="AM568" s="136"/>
      <c r="AN568" s="136"/>
    </row>
    <row r="569" spans="1:40" s="95" customFormat="1" x14ac:dyDescent="0.25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AJ569" s="142"/>
      <c r="AK569" s="142"/>
      <c r="AL569" s="136"/>
      <c r="AM569" s="136"/>
      <c r="AN569" s="136"/>
    </row>
    <row r="570" spans="1:40" s="95" customFormat="1" x14ac:dyDescent="0.25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AJ570" s="142"/>
      <c r="AK570" s="142"/>
      <c r="AL570" s="136"/>
      <c r="AM570" s="136"/>
      <c r="AN570" s="136"/>
    </row>
    <row r="571" spans="1:40" s="95" customFormat="1" x14ac:dyDescent="0.25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AJ571" s="142"/>
      <c r="AK571" s="142"/>
      <c r="AL571" s="136"/>
      <c r="AM571" s="136"/>
      <c r="AN571" s="136"/>
    </row>
    <row r="572" spans="1:40" s="95" customFormat="1" x14ac:dyDescent="0.25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AJ572" s="142"/>
      <c r="AK572" s="142"/>
      <c r="AL572" s="136"/>
      <c r="AM572" s="136"/>
      <c r="AN572" s="136"/>
    </row>
    <row r="573" spans="1:40" s="95" customFormat="1" x14ac:dyDescent="0.25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AJ573" s="142"/>
      <c r="AK573" s="142"/>
      <c r="AL573" s="136"/>
      <c r="AM573" s="136"/>
      <c r="AN573" s="136"/>
    </row>
    <row r="574" spans="1:40" s="95" customFormat="1" x14ac:dyDescent="0.25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AJ574" s="142"/>
      <c r="AK574" s="142"/>
      <c r="AL574" s="136"/>
      <c r="AM574" s="136"/>
      <c r="AN574" s="136"/>
    </row>
    <row r="575" spans="1:40" s="95" customFormat="1" x14ac:dyDescent="0.25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AJ575" s="142"/>
      <c r="AK575" s="142"/>
      <c r="AL575" s="136"/>
      <c r="AM575" s="136"/>
      <c r="AN575" s="136"/>
    </row>
    <row r="576" spans="1:40" s="95" customFormat="1" x14ac:dyDescent="0.25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AJ576" s="142"/>
      <c r="AK576" s="142"/>
      <c r="AL576" s="136"/>
      <c r="AM576" s="136"/>
      <c r="AN576" s="136"/>
    </row>
    <row r="577" spans="1:40" s="95" customFormat="1" x14ac:dyDescent="0.25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AJ577" s="142"/>
      <c r="AK577" s="142"/>
      <c r="AL577" s="136"/>
      <c r="AM577" s="136"/>
      <c r="AN577" s="136"/>
    </row>
    <row r="578" spans="1:40" s="95" customFormat="1" x14ac:dyDescent="0.25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AJ578" s="142"/>
      <c r="AK578" s="142"/>
      <c r="AL578" s="136"/>
      <c r="AM578" s="136"/>
      <c r="AN578" s="136"/>
    </row>
    <row r="579" spans="1:40" s="95" customFormat="1" x14ac:dyDescent="0.25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AJ579" s="142"/>
      <c r="AK579" s="142"/>
      <c r="AL579" s="136"/>
      <c r="AM579" s="136"/>
      <c r="AN579" s="136"/>
    </row>
    <row r="580" spans="1:40" s="95" customFormat="1" x14ac:dyDescent="0.25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AJ580" s="142"/>
      <c r="AK580" s="142"/>
      <c r="AL580" s="136"/>
      <c r="AM580" s="136"/>
      <c r="AN580" s="136"/>
    </row>
    <row r="581" spans="1:40" s="95" customFormat="1" x14ac:dyDescent="0.25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AJ581" s="142"/>
      <c r="AK581" s="142"/>
      <c r="AL581" s="136"/>
      <c r="AM581" s="136"/>
      <c r="AN581" s="136"/>
    </row>
    <row r="582" spans="1:40" s="95" customFormat="1" x14ac:dyDescent="0.25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AJ582" s="142"/>
      <c r="AK582" s="142"/>
      <c r="AL582" s="136"/>
      <c r="AM582" s="136"/>
      <c r="AN582" s="136"/>
    </row>
    <row r="583" spans="1:40" s="95" customFormat="1" x14ac:dyDescent="0.25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AJ583" s="142"/>
      <c r="AK583" s="142"/>
      <c r="AL583" s="136"/>
      <c r="AM583" s="136"/>
      <c r="AN583" s="136"/>
    </row>
    <row r="584" spans="1:40" s="95" customFormat="1" x14ac:dyDescent="0.25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AJ584" s="142"/>
      <c r="AK584" s="142"/>
      <c r="AL584" s="136"/>
      <c r="AM584" s="136"/>
      <c r="AN584" s="136"/>
    </row>
    <row r="585" spans="1:40" s="95" customFormat="1" x14ac:dyDescent="0.25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AJ585" s="142"/>
      <c r="AK585" s="142"/>
      <c r="AL585" s="136"/>
      <c r="AM585" s="136"/>
      <c r="AN585" s="136"/>
    </row>
    <row r="586" spans="1:40" s="95" customFormat="1" x14ac:dyDescent="0.25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AJ586" s="142"/>
      <c r="AK586" s="142"/>
      <c r="AL586" s="136"/>
      <c r="AM586" s="136"/>
      <c r="AN586" s="136"/>
    </row>
    <row r="587" spans="1:40" s="95" customFormat="1" x14ac:dyDescent="0.25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AJ587" s="142"/>
      <c r="AK587" s="142"/>
      <c r="AL587" s="136"/>
      <c r="AM587" s="136"/>
      <c r="AN587" s="136"/>
    </row>
    <row r="588" spans="1:40" s="95" customFormat="1" x14ac:dyDescent="0.25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AJ588" s="142"/>
      <c r="AK588" s="142"/>
      <c r="AL588" s="136"/>
      <c r="AM588" s="136"/>
      <c r="AN588" s="136"/>
    </row>
    <row r="589" spans="1:40" s="95" customFormat="1" x14ac:dyDescent="0.25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AJ589" s="142"/>
      <c r="AK589" s="142"/>
      <c r="AL589" s="136"/>
      <c r="AM589" s="136"/>
      <c r="AN589" s="136"/>
    </row>
    <row r="590" spans="1:40" s="95" customFormat="1" x14ac:dyDescent="0.25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AJ590" s="142"/>
      <c r="AK590" s="142"/>
      <c r="AL590" s="136"/>
      <c r="AM590" s="136"/>
      <c r="AN590" s="136"/>
    </row>
    <row r="591" spans="1:40" s="95" customFormat="1" x14ac:dyDescent="0.25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AJ591" s="142"/>
      <c r="AK591" s="142"/>
      <c r="AL591" s="136"/>
      <c r="AM591" s="136"/>
      <c r="AN591" s="136"/>
    </row>
    <row r="592" spans="1:40" s="95" customFormat="1" x14ac:dyDescent="0.25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AJ592" s="142"/>
      <c r="AK592" s="142"/>
      <c r="AL592" s="136"/>
      <c r="AM592" s="136"/>
      <c r="AN592" s="136"/>
    </row>
    <row r="593" spans="1:40" s="95" customFormat="1" x14ac:dyDescent="0.25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AJ593" s="142"/>
      <c r="AK593" s="142"/>
      <c r="AL593" s="136"/>
      <c r="AM593" s="136"/>
      <c r="AN593" s="136"/>
    </row>
    <row r="594" spans="1:40" s="95" customFormat="1" x14ac:dyDescent="0.25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AJ594" s="142"/>
      <c r="AK594" s="142"/>
      <c r="AL594" s="136"/>
      <c r="AM594" s="136"/>
      <c r="AN594" s="136"/>
    </row>
    <row r="595" spans="1:40" s="95" customFormat="1" x14ac:dyDescent="0.25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AJ595" s="142"/>
      <c r="AK595" s="142"/>
      <c r="AL595" s="136"/>
      <c r="AM595" s="136"/>
      <c r="AN595" s="136"/>
    </row>
    <row r="596" spans="1:40" s="95" customFormat="1" x14ac:dyDescent="0.25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AJ596" s="142"/>
      <c r="AK596" s="142"/>
      <c r="AL596" s="136"/>
      <c r="AM596" s="136"/>
      <c r="AN596" s="136"/>
    </row>
    <row r="597" spans="1:40" s="95" customFormat="1" x14ac:dyDescent="0.25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AJ597" s="142"/>
      <c r="AK597" s="142"/>
      <c r="AL597" s="136"/>
      <c r="AM597" s="136"/>
      <c r="AN597" s="136"/>
    </row>
    <row r="598" spans="1:40" s="95" customFormat="1" x14ac:dyDescent="0.25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AJ598" s="142"/>
      <c r="AK598" s="142"/>
      <c r="AL598" s="136"/>
      <c r="AM598" s="136"/>
      <c r="AN598" s="136"/>
    </row>
    <row r="599" spans="1:40" s="95" customFormat="1" x14ac:dyDescent="0.25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AJ599" s="142"/>
      <c r="AK599" s="142"/>
      <c r="AL599" s="136"/>
      <c r="AM599" s="136"/>
      <c r="AN599" s="136"/>
    </row>
    <row r="600" spans="1:40" s="95" customFormat="1" x14ac:dyDescent="0.25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AJ600" s="142"/>
      <c r="AK600" s="142"/>
      <c r="AL600" s="136"/>
      <c r="AM600" s="136"/>
      <c r="AN600" s="136"/>
    </row>
    <row r="601" spans="1:40" s="95" customFormat="1" x14ac:dyDescent="0.25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AJ601" s="142"/>
      <c r="AK601" s="142"/>
      <c r="AL601" s="136"/>
      <c r="AM601" s="136"/>
      <c r="AN601" s="136"/>
    </row>
    <row r="602" spans="1:40" s="95" customFormat="1" x14ac:dyDescent="0.25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AJ602" s="142"/>
      <c r="AK602" s="142"/>
      <c r="AL602" s="136"/>
      <c r="AM602" s="136"/>
      <c r="AN602" s="136"/>
    </row>
    <row r="603" spans="1:40" s="95" customFormat="1" x14ac:dyDescent="0.25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AJ603" s="142"/>
      <c r="AK603" s="142"/>
      <c r="AL603" s="136"/>
      <c r="AM603" s="136"/>
      <c r="AN603" s="136"/>
    </row>
    <row r="604" spans="1:40" s="95" customFormat="1" x14ac:dyDescent="0.25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AJ604" s="142"/>
      <c r="AK604" s="142"/>
      <c r="AL604" s="136"/>
      <c r="AM604" s="136"/>
      <c r="AN604" s="136"/>
    </row>
    <row r="605" spans="1:40" s="95" customFormat="1" x14ac:dyDescent="0.25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AJ605" s="142"/>
      <c r="AK605" s="142"/>
      <c r="AL605" s="136"/>
      <c r="AM605" s="136"/>
      <c r="AN605" s="136"/>
    </row>
    <row r="606" spans="1:40" s="95" customFormat="1" x14ac:dyDescent="0.25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AJ606" s="142"/>
      <c r="AK606" s="142"/>
      <c r="AL606" s="136"/>
      <c r="AM606" s="136"/>
      <c r="AN606" s="136"/>
    </row>
    <row r="607" spans="1:40" s="95" customFormat="1" x14ac:dyDescent="0.25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AJ607" s="142"/>
      <c r="AK607" s="142"/>
      <c r="AL607" s="136"/>
      <c r="AM607" s="136"/>
      <c r="AN607" s="136"/>
    </row>
    <row r="608" spans="1:40" s="95" customFormat="1" x14ac:dyDescent="0.25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AJ608" s="142"/>
      <c r="AK608" s="142"/>
      <c r="AL608" s="136"/>
      <c r="AM608" s="136"/>
      <c r="AN608" s="136"/>
    </row>
    <row r="609" spans="1:40" s="95" customFormat="1" x14ac:dyDescent="0.25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AJ609" s="142"/>
      <c r="AK609" s="142"/>
      <c r="AL609" s="136"/>
      <c r="AM609" s="136"/>
      <c r="AN609" s="136"/>
    </row>
    <row r="610" spans="1:40" s="95" customFormat="1" x14ac:dyDescent="0.25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AJ610" s="142"/>
      <c r="AK610" s="142"/>
      <c r="AL610" s="136"/>
      <c r="AM610" s="136"/>
      <c r="AN610" s="136"/>
    </row>
    <row r="611" spans="1:40" s="95" customFormat="1" x14ac:dyDescent="0.25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AJ611" s="142"/>
      <c r="AK611" s="142"/>
      <c r="AL611" s="136"/>
      <c r="AM611" s="136"/>
      <c r="AN611" s="136"/>
    </row>
    <row r="612" spans="1:40" s="95" customFormat="1" x14ac:dyDescent="0.25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AJ612" s="142"/>
      <c r="AK612" s="142"/>
      <c r="AL612" s="136"/>
      <c r="AM612" s="136"/>
      <c r="AN612" s="136"/>
    </row>
    <row r="613" spans="1:40" s="95" customFormat="1" x14ac:dyDescent="0.25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AJ613" s="142"/>
      <c r="AK613" s="142"/>
      <c r="AL613" s="136"/>
      <c r="AM613" s="136"/>
      <c r="AN613" s="136"/>
    </row>
    <row r="614" spans="1:40" s="95" customFormat="1" x14ac:dyDescent="0.25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AJ614" s="142"/>
      <c r="AK614" s="142"/>
      <c r="AL614" s="136"/>
      <c r="AM614" s="136"/>
      <c r="AN614" s="136"/>
    </row>
    <row r="615" spans="1:40" s="95" customFormat="1" x14ac:dyDescent="0.25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AJ615" s="142"/>
      <c r="AK615" s="142"/>
      <c r="AL615" s="136"/>
      <c r="AM615" s="136"/>
      <c r="AN615" s="136"/>
    </row>
    <row r="616" spans="1:40" s="95" customFormat="1" x14ac:dyDescent="0.25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AJ616" s="142"/>
      <c r="AK616" s="142"/>
      <c r="AL616" s="136"/>
      <c r="AM616" s="136"/>
      <c r="AN616" s="136"/>
    </row>
    <row r="617" spans="1:40" s="95" customFormat="1" x14ac:dyDescent="0.25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AJ617" s="142"/>
      <c r="AK617" s="142"/>
      <c r="AL617" s="136"/>
      <c r="AM617" s="136"/>
      <c r="AN617" s="136"/>
    </row>
    <row r="618" spans="1:40" s="95" customFormat="1" x14ac:dyDescent="0.25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AJ618" s="142"/>
      <c r="AK618" s="142"/>
      <c r="AL618" s="136"/>
      <c r="AM618" s="136"/>
      <c r="AN618" s="136"/>
    </row>
    <row r="619" spans="1:40" s="95" customFormat="1" x14ac:dyDescent="0.25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AJ619" s="142"/>
      <c r="AK619" s="142"/>
      <c r="AL619" s="136"/>
      <c r="AM619" s="136"/>
      <c r="AN619" s="136"/>
    </row>
    <row r="620" spans="1:40" s="95" customFormat="1" x14ac:dyDescent="0.25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AJ620" s="142"/>
      <c r="AK620" s="142"/>
      <c r="AL620" s="136"/>
      <c r="AM620" s="136"/>
      <c r="AN620" s="136"/>
    </row>
    <row r="621" spans="1:40" s="95" customFormat="1" x14ac:dyDescent="0.25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AJ621" s="142"/>
      <c r="AK621" s="142"/>
      <c r="AL621" s="136"/>
      <c r="AM621" s="136"/>
      <c r="AN621" s="136"/>
    </row>
    <row r="622" spans="1:40" s="95" customFormat="1" x14ac:dyDescent="0.25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AJ622" s="142"/>
      <c r="AK622" s="142"/>
      <c r="AL622" s="136"/>
      <c r="AM622" s="136"/>
      <c r="AN622" s="136"/>
    </row>
    <row r="623" spans="1:40" s="95" customFormat="1" x14ac:dyDescent="0.25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AJ623" s="142"/>
      <c r="AK623" s="142"/>
      <c r="AL623" s="136"/>
      <c r="AM623" s="136"/>
      <c r="AN623" s="136"/>
    </row>
    <row r="624" spans="1:40" s="95" customFormat="1" x14ac:dyDescent="0.25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AJ624" s="142"/>
      <c r="AK624" s="142"/>
      <c r="AL624" s="136"/>
      <c r="AM624" s="136"/>
      <c r="AN624" s="136"/>
    </row>
    <row r="625" spans="1:40" s="95" customFormat="1" x14ac:dyDescent="0.25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AJ625" s="142"/>
      <c r="AK625" s="142"/>
      <c r="AL625" s="136"/>
      <c r="AM625" s="136"/>
      <c r="AN625" s="136"/>
    </row>
    <row r="626" spans="1:40" s="95" customFormat="1" x14ac:dyDescent="0.25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AJ626" s="142"/>
      <c r="AK626" s="142"/>
      <c r="AL626" s="136"/>
      <c r="AM626" s="136"/>
      <c r="AN626" s="136"/>
    </row>
    <row r="627" spans="1:40" s="95" customFormat="1" x14ac:dyDescent="0.25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AJ627" s="142"/>
      <c r="AK627" s="142"/>
      <c r="AL627" s="136"/>
      <c r="AM627" s="136"/>
      <c r="AN627" s="136"/>
    </row>
    <row r="628" spans="1:40" s="95" customFormat="1" x14ac:dyDescent="0.25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AJ628" s="142"/>
      <c r="AK628" s="142"/>
      <c r="AL628" s="136"/>
      <c r="AM628" s="136"/>
      <c r="AN628" s="136"/>
    </row>
    <row r="629" spans="1:40" s="95" customFormat="1" x14ac:dyDescent="0.25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AJ629" s="142"/>
      <c r="AK629" s="142"/>
      <c r="AL629" s="136"/>
      <c r="AM629" s="136"/>
      <c r="AN629" s="136"/>
    </row>
    <row r="630" spans="1:40" s="95" customFormat="1" x14ac:dyDescent="0.25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AJ630" s="142"/>
      <c r="AK630" s="142"/>
      <c r="AL630" s="136"/>
      <c r="AM630" s="136"/>
      <c r="AN630" s="136"/>
    </row>
    <row r="631" spans="1:40" s="95" customFormat="1" x14ac:dyDescent="0.25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AJ631" s="142"/>
      <c r="AK631" s="142"/>
      <c r="AL631" s="136"/>
      <c r="AM631" s="136"/>
      <c r="AN631" s="136"/>
    </row>
    <row r="632" spans="1:40" s="95" customFormat="1" x14ac:dyDescent="0.25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AJ632" s="142"/>
      <c r="AK632" s="142"/>
      <c r="AL632" s="136"/>
      <c r="AM632" s="136"/>
      <c r="AN632" s="136"/>
    </row>
    <row r="633" spans="1:40" s="95" customFormat="1" x14ac:dyDescent="0.25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AJ633" s="142"/>
      <c r="AK633" s="142"/>
      <c r="AL633" s="136"/>
      <c r="AM633" s="136"/>
      <c r="AN633" s="136"/>
    </row>
    <row r="634" spans="1:40" s="95" customFormat="1" x14ac:dyDescent="0.25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AJ634" s="142"/>
      <c r="AK634" s="142"/>
      <c r="AL634" s="136"/>
      <c r="AM634" s="136"/>
      <c r="AN634" s="136"/>
    </row>
    <row r="635" spans="1:40" s="95" customFormat="1" x14ac:dyDescent="0.25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AJ635" s="142"/>
      <c r="AK635" s="142"/>
      <c r="AL635" s="136"/>
      <c r="AM635" s="136"/>
      <c r="AN635" s="136"/>
    </row>
    <row r="636" spans="1:40" s="95" customFormat="1" x14ac:dyDescent="0.25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AJ636" s="142"/>
      <c r="AK636" s="142"/>
      <c r="AL636" s="136"/>
      <c r="AM636" s="136"/>
      <c r="AN636" s="136"/>
    </row>
    <row r="637" spans="1:40" s="95" customFormat="1" x14ac:dyDescent="0.25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AJ637" s="142"/>
      <c r="AK637" s="142"/>
      <c r="AL637" s="136"/>
      <c r="AM637" s="136"/>
      <c r="AN637" s="136"/>
    </row>
    <row r="638" spans="1:40" s="95" customFormat="1" x14ac:dyDescent="0.25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AJ638" s="142"/>
      <c r="AK638" s="142"/>
      <c r="AL638" s="136"/>
      <c r="AM638" s="136"/>
      <c r="AN638" s="136"/>
    </row>
    <row r="639" spans="1:40" s="95" customFormat="1" x14ac:dyDescent="0.25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AJ639" s="142"/>
      <c r="AK639" s="142"/>
      <c r="AL639" s="136"/>
      <c r="AM639" s="136"/>
      <c r="AN639" s="136"/>
    </row>
    <row r="640" spans="1:40" s="95" customFormat="1" x14ac:dyDescent="0.25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AJ640" s="142"/>
      <c r="AK640" s="142"/>
      <c r="AL640" s="136"/>
      <c r="AM640" s="136"/>
      <c r="AN640" s="136"/>
    </row>
    <row r="641" spans="1:40" s="95" customFormat="1" x14ac:dyDescent="0.25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AJ641" s="142"/>
      <c r="AK641" s="142"/>
      <c r="AL641" s="136"/>
      <c r="AM641" s="136"/>
      <c r="AN641" s="136"/>
    </row>
    <row r="642" spans="1:40" s="95" customFormat="1" x14ac:dyDescent="0.25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AJ642" s="142"/>
      <c r="AK642" s="142"/>
      <c r="AL642" s="136"/>
      <c r="AM642" s="136"/>
      <c r="AN642" s="136"/>
    </row>
    <row r="643" spans="1:40" s="95" customFormat="1" x14ac:dyDescent="0.25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AJ643" s="142"/>
      <c r="AK643" s="142"/>
      <c r="AL643" s="136"/>
      <c r="AM643" s="136"/>
      <c r="AN643" s="136"/>
    </row>
    <row r="644" spans="1:40" s="95" customFormat="1" x14ac:dyDescent="0.25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AJ644" s="142"/>
      <c r="AK644" s="142"/>
      <c r="AL644" s="136"/>
      <c r="AM644" s="136"/>
      <c r="AN644" s="136"/>
    </row>
    <row r="645" spans="1:40" s="95" customFormat="1" x14ac:dyDescent="0.25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AJ645" s="142"/>
      <c r="AK645" s="142"/>
      <c r="AL645" s="136"/>
      <c r="AM645" s="136"/>
      <c r="AN645" s="136"/>
    </row>
    <row r="646" spans="1:40" s="95" customFormat="1" x14ac:dyDescent="0.25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AJ646" s="142"/>
      <c r="AK646" s="142"/>
      <c r="AL646" s="136"/>
      <c r="AM646" s="136"/>
      <c r="AN646" s="136"/>
    </row>
    <row r="647" spans="1:40" s="95" customFormat="1" x14ac:dyDescent="0.25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AJ647" s="142"/>
      <c r="AK647" s="142"/>
      <c r="AL647" s="136"/>
      <c r="AM647" s="136"/>
      <c r="AN647" s="136"/>
    </row>
    <row r="648" spans="1:40" s="95" customFormat="1" x14ac:dyDescent="0.25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AJ648" s="142"/>
      <c r="AK648" s="142"/>
      <c r="AL648" s="136"/>
      <c r="AM648" s="136"/>
      <c r="AN648" s="136"/>
    </row>
    <row r="649" spans="1:40" s="95" customFormat="1" x14ac:dyDescent="0.25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AJ649" s="142"/>
      <c r="AK649" s="142"/>
      <c r="AL649" s="136"/>
      <c r="AM649" s="136"/>
      <c r="AN649" s="136"/>
    </row>
    <row r="650" spans="1:40" s="95" customFormat="1" x14ac:dyDescent="0.25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AJ650" s="142"/>
      <c r="AK650" s="142"/>
      <c r="AL650" s="136"/>
      <c r="AM650" s="136"/>
      <c r="AN650" s="136"/>
    </row>
    <row r="651" spans="1:40" s="95" customFormat="1" x14ac:dyDescent="0.25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AJ651" s="142"/>
      <c r="AK651" s="142"/>
      <c r="AL651" s="136"/>
      <c r="AM651" s="136"/>
      <c r="AN651" s="136"/>
    </row>
    <row r="652" spans="1:40" s="95" customFormat="1" x14ac:dyDescent="0.25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AJ652" s="142"/>
      <c r="AK652" s="142"/>
      <c r="AL652" s="136"/>
      <c r="AM652" s="136"/>
      <c r="AN652" s="136"/>
    </row>
    <row r="653" spans="1:40" s="95" customFormat="1" x14ac:dyDescent="0.25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AJ653" s="142"/>
      <c r="AK653" s="142"/>
      <c r="AL653" s="136"/>
      <c r="AM653" s="136"/>
      <c r="AN653" s="136"/>
    </row>
    <row r="654" spans="1:40" s="95" customFormat="1" x14ac:dyDescent="0.25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AJ654" s="142"/>
      <c r="AK654" s="142"/>
      <c r="AL654" s="136"/>
      <c r="AM654" s="136"/>
      <c r="AN654" s="136"/>
    </row>
    <row r="655" spans="1:40" s="95" customFormat="1" x14ac:dyDescent="0.25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AJ655" s="142"/>
      <c r="AK655" s="142"/>
      <c r="AL655" s="136"/>
      <c r="AM655" s="136"/>
      <c r="AN655" s="136"/>
    </row>
    <row r="656" spans="1:40" s="95" customFormat="1" x14ac:dyDescent="0.25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AJ656" s="142"/>
      <c r="AK656" s="142"/>
      <c r="AL656" s="136"/>
      <c r="AM656" s="136"/>
      <c r="AN656" s="136"/>
    </row>
    <row r="657" spans="1:40" s="95" customFormat="1" x14ac:dyDescent="0.25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AJ657" s="142"/>
      <c r="AK657" s="142"/>
      <c r="AL657" s="136"/>
      <c r="AM657" s="136"/>
      <c r="AN657" s="136"/>
    </row>
    <row r="658" spans="1:40" s="95" customFormat="1" x14ac:dyDescent="0.25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AJ658" s="142"/>
      <c r="AK658" s="142"/>
      <c r="AL658" s="136"/>
      <c r="AM658" s="136"/>
      <c r="AN658" s="136"/>
    </row>
    <row r="659" spans="1:40" s="95" customFormat="1" x14ac:dyDescent="0.25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AJ659" s="142"/>
      <c r="AK659" s="142"/>
      <c r="AL659" s="136"/>
      <c r="AM659" s="136"/>
      <c r="AN659" s="136"/>
    </row>
    <row r="660" spans="1:40" s="95" customFormat="1" x14ac:dyDescent="0.25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AJ660" s="142"/>
      <c r="AK660" s="142"/>
      <c r="AL660" s="136"/>
      <c r="AM660" s="136"/>
      <c r="AN660" s="136"/>
    </row>
    <row r="661" spans="1:40" s="95" customFormat="1" x14ac:dyDescent="0.25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AJ661" s="142"/>
      <c r="AK661" s="142"/>
      <c r="AL661" s="136"/>
      <c r="AM661" s="136"/>
      <c r="AN661" s="136"/>
    </row>
    <row r="662" spans="1:40" s="95" customFormat="1" x14ac:dyDescent="0.25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AJ662" s="142"/>
      <c r="AK662" s="142"/>
      <c r="AL662" s="136"/>
      <c r="AM662" s="136"/>
      <c r="AN662" s="136"/>
    </row>
    <row r="663" spans="1:40" s="95" customFormat="1" x14ac:dyDescent="0.25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AJ663" s="142"/>
      <c r="AK663" s="142"/>
      <c r="AL663" s="136"/>
      <c r="AM663" s="136"/>
      <c r="AN663" s="136"/>
    </row>
    <row r="664" spans="1:40" s="95" customFormat="1" x14ac:dyDescent="0.25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AJ664" s="142"/>
      <c r="AK664" s="142"/>
      <c r="AL664" s="136"/>
      <c r="AM664" s="136"/>
      <c r="AN664" s="136"/>
    </row>
    <row r="665" spans="1:40" s="95" customFormat="1" x14ac:dyDescent="0.25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AJ665" s="142"/>
      <c r="AK665" s="142"/>
      <c r="AL665" s="136"/>
      <c r="AM665" s="136"/>
      <c r="AN665" s="136"/>
    </row>
    <row r="666" spans="1:40" s="95" customFormat="1" x14ac:dyDescent="0.25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AJ666" s="142"/>
      <c r="AK666" s="142"/>
      <c r="AL666" s="136"/>
      <c r="AM666" s="136"/>
      <c r="AN666" s="136"/>
    </row>
    <row r="667" spans="1:40" s="95" customFormat="1" x14ac:dyDescent="0.25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AJ667" s="142"/>
      <c r="AK667" s="142"/>
      <c r="AL667" s="136"/>
      <c r="AM667" s="136"/>
      <c r="AN667" s="136"/>
    </row>
    <row r="668" spans="1:40" s="95" customFormat="1" x14ac:dyDescent="0.25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AJ668" s="142"/>
      <c r="AK668" s="142"/>
      <c r="AL668" s="136"/>
      <c r="AM668" s="136"/>
      <c r="AN668" s="136"/>
    </row>
    <row r="669" spans="1:40" s="95" customFormat="1" x14ac:dyDescent="0.25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AJ669" s="142"/>
      <c r="AK669" s="142"/>
      <c r="AL669" s="136"/>
      <c r="AM669" s="136"/>
      <c r="AN669" s="136"/>
    </row>
    <row r="670" spans="1:40" s="95" customFormat="1" x14ac:dyDescent="0.25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AJ670" s="142"/>
      <c r="AK670" s="142"/>
      <c r="AL670" s="136"/>
      <c r="AM670" s="136"/>
      <c r="AN670" s="136"/>
    </row>
    <row r="671" spans="1:40" s="95" customFormat="1" x14ac:dyDescent="0.25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AJ671" s="142"/>
      <c r="AK671" s="142"/>
      <c r="AL671" s="136"/>
      <c r="AM671" s="136"/>
      <c r="AN671" s="136"/>
    </row>
    <row r="672" spans="1:40" s="95" customFormat="1" x14ac:dyDescent="0.25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AJ672" s="142"/>
      <c r="AK672" s="142"/>
      <c r="AL672" s="136"/>
      <c r="AM672" s="136"/>
      <c r="AN672" s="136"/>
    </row>
    <row r="673" spans="1:40" s="95" customFormat="1" x14ac:dyDescent="0.25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AJ673" s="142"/>
      <c r="AK673" s="142"/>
      <c r="AL673" s="136"/>
      <c r="AM673" s="136"/>
      <c r="AN673" s="136"/>
    </row>
    <row r="674" spans="1:40" s="95" customFormat="1" x14ac:dyDescent="0.25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AJ674" s="142"/>
      <c r="AK674" s="142"/>
      <c r="AL674" s="136"/>
      <c r="AM674" s="136"/>
      <c r="AN674" s="136"/>
    </row>
    <row r="675" spans="1:40" s="95" customFormat="1" x14ac:dyDescent="0.25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AJ675" s="142"/>
      <c r="AK675" s="142"/>
      <c r="AL675" s="136"/>
      <c r="AM675" s="136"/>
      <c r="AN675" s="136"/>
    </row>
    <row r="676" spans="1:40" s="95" customFormat="1" x14ac:dyDescent="0.25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AJ676" s="142"/>
      <c r="AK676" s="142"/>
      <c r="AL676" s="136"/>
      <c r="AM676" s="136"/>
      <c r="AN676" s="136"/>
    </row>
    <row r="677" spans="1:40" s="95" customFormat="1" x14ac:dyDescent="0.25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AJ677" s="142"/>
      <c r="AK677" s="142"/>
      <c r="AL677" s="136"/>
      <c r="AM677" s="136"/>
      <c r="AN677" s="136"/>
    </row>
    <row r="678" spans="1:40" s="95" customFormat="1" x14ac:dyDescent="0.25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AJ678" s="142"/>
      <c r="AK678" s="142"/>
      <c r="AL678" s="136"/>
      <c r="AM678" s="136"/>
      <c r="AN678" s="136"/>
    </row>
    <row r="679" spans="1:40" s="95" customFormat="1" x14ac:dyDescent="0.25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AJ679" s="142"/>
      <c r="AK679" s="142"/>
      <c r="AL679" s="136"/>
      <c r="AM679" s="136"/>
      <c r="AN679" s="136"/>
    </row>
    <row r="680" spans="1:40" s="95" customFormat="1" x14ac:dyDescent="0.25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AJ680" s="142"/>
      <c r="AK680" s="142"/>
      <c r="AL680" s="136"/>
      <c r="AM680" s="136"/>
      <c r="AN680" s="136"/>
    </row>
    <row r="681" spans="1:40" s="95" customFormat="1" x14ac:dyDescent="0.25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AJ681" s="142"/>
      <c r="AK681" s="142"/>
      <c r="AL681" s="136"/>
      <c r="AM681" s="136"/>
      <c r="AN681" s="136"/>
    </row>
    <row r="682" spans="1:40" s="95" customFormat="1" x14ac:dyDescent="0.25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AJ682" s="142"/>
      <c r="AK682" s="142"/>
      <c r="AL682" s="136"/>
      <c r="AM682" s="136"/>
      <c r="AN682" s="136"/>
    </row>
    <row r="683" spans="1:40" s="95" customFormat="1" x14ac:dyDescent="0.25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AJ683" s="142"/>
      <c r="AK683" s="142"/>
      <c r="AL683" s="136"/>
      <c r="AM683" s="136"/>
      <c r="AN683" s="136"/>
    </row>
    <row r="684" spans="1:40" s="95" customFormat="1" x14ac:dyDescent="0.25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AJ684" s="142"/>
      <c r="AK684" s="142"/>
      <c r="AL684" s="136"/>
      <c r="AM684" s="136"/>
      <c r="AN684" s="136"/>
    </row>
    <row r="685" spans="1:40" s="95" customFormat="1" x14ac:dyDescent="0.25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AJ685" s="142"/>
      <c r="AK685" s="142"/>
      <c r="AL685" s="136"/>
      <c r="AM685" s="136"/>
      <c r="AN685" s="136"/>
    </row>
    <row r="686" spans="1:40" s="95" customFormat="1" x14ac:dyDescent="0.25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AJ686" s="142"/>
      <c r="AK686" s="142"/>
      <c r="AL686" s="136"/>
      <c r="AM686" s="136"/>
      <c r="AN686" s="136"/>
    </row>
    <row r="687" spans="1:40" s="95" customFormat="1" x14ac:dyDescent="0.25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AJ687" s="142"/>
      <c r="AK687" s="142"/>
      <c r="AL687" s="136"/>
      <c r="AM687" s="136"/>
      <c r="AN687" s="136"/>
    </row>
    <row r="688" spans="1:40" s="95" customFormat="1" x14ac:dyDescent="0.25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AJ688" s="142"/>
      <c r="AK688" s="142"/>
      <c r="AL688" s="136"/>
      <c r="AM688" s="136"/>
      <c r="AN688" s="136"/>
    </row>
    <row r="689" spans="1:40" s="95" customFormat="1" x14ac:dyDescent="0.25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AJ689" s="142"/>
      <c r="AK689" s="142"/>
      <c r="AL689" s="136"/>
      <c r="AM689" s="136"/>
      <c r="AN689" s="136"/>
    </row>
    <row r="690" spans="1:40" s="95" customFormat="1" x14ac:dyDescent="0.25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AJ690" s="142"/>
      <c r="AK690" s="142"/>
      <c r="AL690" s="136"/>
      <c r="AM690" s="136"/>
      <c r="AN690" s="136"/>
    </row>
    <row r="691" spans="1:40" s="95" customFormat="1" x14ac:dyDescent="0.25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AJ691" s="142"/>
      <c r="AK691" s="142"/>
      <c r="AL691" s="136"/>
      <c r="AM691" s="136"/>
      <c r="AN691" s="136"/>
    </row>
    <row r="692" spans="1:40" s="95" customFormat="1" x14ac:dyDescent="0.25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AJ692" s="142"/>
      <c r="AK692" s="142"/>
      <c r="AL692" s="136"/>
      <c r="AM692" s="136"/>
      <c r="AN692" s="136"/>
    </row>
    <row r="693" spans="1:40" s="95" customFormat="1" x14ac:dyDescent="0.25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AJ693" s="142"/>
      <c r="AK693" s="142"/>
      <c r="AL693" s="136"/>
      <c r="AM693" s="136"/>
      <c r="AN693" s="136"/>
    </row>
    <row r="694" spans="1:40" s="95" customFormat="1" x14ac:dyDescent="0.25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AJ694" s="142"/>
      <c r="AK694" s="142"/>
      <c r="AL694" s="136"/>
      <c r="AM694" s="136"/>
      <c r="AN694" s="136"/>
    </row>
    <row r="695" spans="1:40" s="95" customFormat="1" x14ac:dyDescent="0.25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AJ695" s="142"/>
      <c r="AK695" s="142"/>
      <c r="AL695" s="136"/>
      <c r="AM695" s="136"/>
      <c r="AN695" s="136"/>
    </row>
    <row r="696" spans="1:40" s="95" customFormat="1" x14ac:dyDescent="0.25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AJ696" s="142"/>
      <c r="AK696" s="142"/>
      <c r="AL696" s="136"/>
      <c r="AM696" s="136"/>
      <c r="AN696" s="136"/>
    </row>
    <row r="697" spans="1:40" s="95" customFormat="1" x14ac:dyDescent="0.25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AJ697" s="142"/>
      <c r="AK697" s="142"/>
      <c r="AL697" s="136"/>
      <c r="AM697" s="136"/>
      <c r="AN697" s="136"/>
    </row>
    <row r="698" spans="1:40" s="95" customFormat="1" x14ac:dyDescent="0.25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AJ698" s="142"/>
      <c r="AK698" s="142"/>
      <c r="AL698" s="136"/>
      <c r="AM698" s="136"/>
      <c r="AN698" s="136"/>
    </row>
    <row r="699" spans="1:40" s="95" customFormat="1" x14ac:dyDescent="0.25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AJ699" s="142"/>
      <c r="AK699" s="142"/>
      <c r="AL699" s="136"/>
      <c r="AM699" s="136"/>
      <c r="AN699" s="136"/>
    </row>
    <row r="700" spans="1:40" s="95" customFormat="1" x14ac:dyDescent="0.25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AJ700" s="142"/>
      <c r="AK700" s="142"/>
      <c r="AL700" s="136"/>
      <c r="AM700" s="136"/>
      <c r="AN700" s="136"/>
    </row>
    <row r="701" spans="1:40" s="95" customFormat="1" x14ac:dyDescent="0.25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AJ701" s="142"/>
      <c r="AK701" s="142"/>
      <c r="AL701" s="136"/>
      <c r="AM701" s="136"/>
      <c r="AN701" s="136"/>
    </row>
    <row r="702" spans="1:40" s="95" customFormat="1" x14ac:dyDescent="0.25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AJ702" s="142"/>
      <c r="AK702" s="142"/>
      <c r="AL702" s="136"/>
      <c r="AM702" s="136"/>
      <c r="AN702" s="136"/>
    </row>
    <row r="703" spans="1:40" s="95" customFormat="1" x14ac:dyDescent="0.25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AJ703" s="142"/>
      <c r="AK703" s="142"/>
      <c r="AL703" s="136"/>
      <c r="AM703" s="136"/>
      <c r="AN703" s="136"/>
    </row>
    <row r="704" spans="1:40" s="95" customFormat="1" x14ac:dyDescent="0.25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AJ704" s="142"/>
      <c r="AK704" s="142"/>
      <c r="AL704" s="136"/>
      <c r="AM704" s="136"/>
      <c r="AN704" s="136"/>
    </row>
    <row r="705" spans="1:40" s="95" customFormat="1" x14ac:dyDescent="0.25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AJ705" s="142"/>
      <c r="AK705" s="142"/>
      <c r="AL705" s="136"/>
      <c r="AM705" s="136"/>
      <c r="AN705" s="136"/>
    </row>
    <row r="706" spans="1:40" s="95" customFormat="1" x14ac:dyDescent="0.25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AJ706" s="142"/>
      <c r="AK706" s="142"/>
      <c r="AL706" s="136"/>
      <c r="AM706" s="136"/>
      <c r="AN706" s="136"/>
    </row>
    <row r="707" spans="1:40" s="95" customFormat="1" x14ac:dyDescent="0.25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AJ707" s="142"/>
      <c r="AK707" s="142"/>
      <c r="AL707" s="136"/>
      <c r="AM707" s="136"/>
      <c r="AN707" s="136"/>
    </row>
    <row r="708" spans="1:40" s="95" customFormat="1" x14ac:dyDescent="0.25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AJ708" s="142"/>
      <c r="AK708" s="142"/>
      <c r="AL708" s="136"/>
      <c r="AM708" s="136"/>
      <c r="AN708" s="136"/>
    </row>
    <row r="709" spans="1:40" s="95" customFormat="1" x14ac:dyDescent="0.25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AJ709" s="142"/>
      <c r="AK709" s="142"/>
      <c r="AL709" s="136"/>
      <c r="AM709" s="136"/>
      <c r="AN709" s="136"/>
    </row>
    <row r="710" spans="1:40" s="95" customFormat="1" x14ac:dyDescent="0.25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AJ710" s="142"/>
      <c r="AK710" s="142"/>
      <c r="AL710" s="136"/>
      <c r="AM710" s="136"/>
      <c r="AN710" s="136"/>
    </row>
    <row r="711" spans="1:40" s="95" customFormat="1" x14ac:dyDescent="0.25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AJ711" s="142"/>
      <c r="AK711" s="142"/>
      <c r="AL711" s="136"/>
      <c r="AM711" s="136"/>
      <c r="AN711" s="136"/>
    </row>
    <row r="712" spans="1:40" s="95" customFormat="1" x14ac:dyDescent="0.25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AJ712" s="142"/>
      <c r="AK712" s="142"/>
      <c r="AL712" s="136"/>
      <c r="AM712" s="136"/>
      <c r="AN712" s="136"/>
    </row>
    <row r="713" spans="1:40" s="95" customFormat="1" x14ac:dyDescent="0.25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AJ713" s="142"/>
      <c r="AK713" s="142"/>
      <c r="AL713" s="136"/>
      <c r="AM713" s="136"/>
      <c r="AN713" s="136"/>
    </row>
    <row r="714" spans="1:40" s="95" customFormat="1" x14ac:dyDescent="0.25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AJ714" s="142"/>
      <c r="AK714" s="142"/>
      <c r="AL714" s="136"/>
      <c r="AM714" s="136"/>
      <c r="AN714" s="136"/>
    </row>
    <row r="715" spans="1:40" s="95" customFormat="1" x14ac:dyDescent="0.25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AJ715" s="142"/>
      <c r="AK715" s="142"/>
      <c r="AL715" s="136"/>
      <c r="AM715" s="136"/>
      <c r="AN715" s="136"/>
    </row>
    <row r="716" spans="1:40" s="95" customFormat="1" x14ac:dyDescent="0.25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AJ716" s="142"/>
      <c r="AK716" s="142"/>
      <c r="AL716" s="136"/>
      <c r="AM716" s="136"/>
      <c r="AN716" s="136"/>
    </row>
    <row r="717" spans="1:40" s="95" customFormat="1" x14ac:dyDescent="0.25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AJ717" s="142"/>
      <c r="AK717" s="142"/>
      <c r="AL717" s="136"/>
      <c r="AM717" s="136"/>
      <c r="AN717" s="136"/>
    </row>
    <row r="718" spans="1:40" s="95" customFormat="1" x14ac:dyDescent="0.25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AJ718" s="142"/>
      <c r="AK718" s="142"/>
      <c r="AL718" s="136"/>
      <c r="AM718" s="136"/>
      <c r="AN718" s="136"/>
    </row>
    <row r="719" spans="1:40" s="95" customFormat="1" x14ac:dyDescent="0.25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AJ719" s="142"/>
      <c r="AK719" s="142"/>
      <c r="AL719" s="136"/>
      <c r="AM719" s="136"/>
      <c r="AN719" s="136"/>
    </row>
    <row r="720" spans="1:40" s="95" customFormat="1" x14ac:dyDescent="0.25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AJ720" s="142"/>
      <c r="AK720" s="142"/>
      <c r="AL720" s="136"/>
      <c r="AM720" s="136"/>
      <c r="AN720" s="136"/>
    </row>
    <row r="721" spans="1:40" s="95" customFormat="1" x14ac:dyDescent="0.25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AJ721" s="142"/>
      <c r="AK721" s="142"/>
      <c r="AL721" s="136"/>
      <c r="AM721" s="136"/>
      <c r="AN721" s="136"/>
    </row>
    <row r="722" spans="1:40" s="95" customFormat="1" x14ac:dyDescent="0.25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AJ722" s="142"/>
      <c r="AK722" s="142"/>
      <c r="AL722" s="136"/>
      <c r="AM722" s="136"/>
      <c r="AN722" s="136"/>
    </row>
    <row r="723" spans="1:40" s="95" customFormat="1" x14ac:dyDescent="0.25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AJ723" s="142"/>
      <c r="AK723" s="142"/>
      <c r="AL723" s="136"/>
      <c r="AM723" s="136"/>
      <c r="AN723" s="136"/>
    </row>
    <row r="724" spans="1:40" s="95" customFormat="1" x14ac:dyDescent="0.25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AJ724" s="142"/>
      <c r="AK724" s="142"/>
      <c r="AL724" s="136"/>
      <c r="AM724" s="136"/>
      <c r="AN724" s="136"/>
    </row>
    <row r="725" spans="1:40" s="95" customFormat="1" x14ac:dyDescent="0.25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AJ725" s="142"/>
      <c r="AK725" s="142"/>
      <c r="AL725" s="136"/>
      <c r="AM725" s="136"/>
      <c r="AN725" s="136"/>
    </row>
    <row r="726" spans="1:40" s="95" customFormat="1" x14ac:dyDescent="0.25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AJ726" s="142"/>
      <c r="AK726" s="142"/>
      <c r="AL726" s="136"/>
      <c r="AM726" s="136"/>
      <c r="AN726" s="136"/>
    </row>
    <row r="727" spans="1:40" s="95" customFormat="1" x14ac:dyDescent="0.25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AJ727" s="142"/>
      <c r="AK727" s="142"/>
      <c r="AL727" s="136"/>
      <c r="AM727" s="136"/>
      <c r="AN727" s="136"/>
    </row>
    <row r="728" spans="1:40" s="95" customFormat="1" x14ac:dyDescent="0.25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AJ728" s="142"/>
      <c r="AK728" s="142"/>
      <c r="AL728" s="136"/>
      <c r="AM728" s="136"/>
      <c r="AN728" s="136"/>
    </row>
    <row r="729" spans="1:40" s="95" customFormat="1" x14ac:dyDescent="0.25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AJ729" s="142"/>
      <c r="AK729" s="142"/>
      <c r="AL729" s="136"/>
      <c r="AM729" s="136"/>
      <c r="AN729" s="136"/>
    </row>
    <row r="730" spans="1:40" s="95" customFormat="1" x14ac:dyDescent="0.25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AJ730" s="142"/>
      <c r="AK730" s="142"/>
      <c r="AL730" s="136"/>
      <c r="AM730" s="136"/>
      <c r="AN730" s="136"/>
    </row>
    <row r="731" spans="1:40" s="95" customFormat="1" x14ac:dyDescent="0.25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AJ731" s="142"/>
      <c r="AK731" s="142"/>
      <c r="AL731" s="136"/>
      <c r="AM731" s="136"/>
      <c r="AN731" s="136"/>
    </row>
    <row r="732" spans="1:40" s="95" customFormat="1" x14ac:dyDescent="0.25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AJ732" s="142"/>
      <c r="AK732" s="142"/>
      <c r="AL732" s="136"/>
      <c r="AM732" s="136"/>
      <c r="AN732" s="136"/>
    </row>
    <row r="733" spans="1:40" s="95" customFormat="1" x14ac:dyDescent="0.25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AJ733" s="142"/>
      <c r="AK733" s="142"/>
      <c r="AL733" s="136"/>
      <c r="AM733" s="136"/>
      <c r="AN733" s="136"/>
    </row>
    <row r="734" spans="1:40" s="95" customFormat="1" x14ac:dyDescent="0.25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AJ734" s="142"/>
      <c r="AK734" s="142"/>
      <c r="AL734" s="136"/>
      <c r="AM734" s="136"/>
      <c r="AN734" s="136"/>
    </row>
    <row r="735" spans="1:40" s="95" customFormat="1" x14ac:dyDescent="0.25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AJ735" s="142"/>
      <c r="AK735" s="142"/>
      <c r="AL735" s="136"/>
      <c r="AM735" s="136"/>
      <c r="AN735" s="136"/>
    </row>
    <row r="736" spans="1:40" s="95" customFormat="1" x14ac:dyDescent="0.25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AJ736" s="142"/>
      <c r="AK736" s="142"/>
      <c r="AL736" s="136"/>
      <c r="AM736" s="136"/>
      <c r="AN736" s="136"/>
    </row>
    <row r="737" spans="1:40" s="95" customFormat="1" x14ac:dyDescent="0.25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AJ737" s="142"/>
      <c r="AK737" s="142"/>
      <c r="AL737" s="136"/>
      <c r="AM737" s="136"/>
      <c r="AN737" s="136"/>
    </row>
    <row r="738" spans="1:40" s="95" customFormat="1" x14ac:dyDescent="0.25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AJ738" s="142"/>
      <c r="AK738" s="142"/>
      <c r="AL738" s="136"/>
      <c r="AM738" s="136"/>
      <c r="AN738" s="136"/>
    </row>
    <row r="739" spans="1:40" s="95" customFormat="1" x14ac:dyDescent="0.25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AJ739" s="142"/>
      <c r="AK739" s="142"/>
      <c r="AL739" s="136"/>
      <c r="AM739" s="136"/>
      <c r="AN739" s="136"/>
    </row>
    <row r="740" spans="1:40" s="95" customFormat="1" x14ac:dyDescent="0.25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AJ740" s="142"/>
      <c r="AK740" s="142"/>
      <c r="AL740" s="136"/>
      <c r="AM740" s="136"/>
      <c r="AN740" s="136"/>
    </row>
    <row r="741" spans="1:40" s="95" customFormat="1" x14ac:dyDescent="0.25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AJ741" s="142"/>
      <c r="AK741" s="142"/>
      <c r="AL741" s="136"/>
      <c r="AM741" s="136"/>
      <c r="AN741" s="136"/>
    </row>
    <row r="742" spans="1:40" s="95" customFormat="1" x14ac:dyDescent="0.25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AJ742" s="142"/>
      <c r="AK742" s="142"/>
      <c r="AL742" s="136"/>
      <c r="AM742" s="136"/>
      <c r="AN742" s="136"/>
    </row>
    <row r="743" spans="1:40" s="95" customFormat="1" x14ac:dyDescent="0.25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AJ743" s="142"/>
      <c r="AK743" s="142"/>
      <c r="AL743" s="136"/>
      <c r="AM743" s="136"/>
      <c r="AN743" s="136"/>
    </row>
    <row r="744" spans="1:40" s="95" customFormat="1" x14ac:dyDescent="0.25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AJ744" s="142"/>
      <c r="AK744" s="142"/>
      <c r="AL744" s="136"/>
      <c r="AM744" s="136"/>
      <c r="AN744" s="136"/>
    </row>
    <row r="745" spans="1:40" s="95" customFormat="1" x14ac:dyDescent="0.25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AJ745" s="142"/>
      <c r="AK745" s="142"/>
      <c r="AL745" s="136"/>
      <c r="AM745" s="136"/>
      <c r="AN745" s="136"/>
    </row>
    <row r="746" spans="1:40" s="95" customFormat="1" x14ac:dyDescent="0.25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AJ746" s="142"/>
      <c r="AK746" s="142"/>
      <c r="AL746" s="136"/>
      <c r="AM746" s="136"/>
      <c r="AN746" s="136"/>
    </row>
    <row r="747" spans="1:40" s="95" customFormat="1" x14ac:dyDescent="0.25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AJ747" s="142"/>
      <c r="AK747" s="142"/>
      <c r="AL747" s="136"/>
      <c r="AM747" s="136"/>
      <c r="AN747" s="136"/>
    </row>
    <row r="748" spans="1:40" s="95" customFormat="1" x14ac:dyDescent="0.25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AJ748" s="142"/>
      <c r="AK748" s="142"/>
      <c r="AL748" s="136"/>
      <c r="AM748" s="136"/>
      <c r="AN748" s="136"/>
    </row>
    <row r="749" spans="1:40" s="95" customFormat="1" x14ac:dyDescent="0.25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AJ749" s="142"/>
      <c r="AK749" s="142"/>
      <c r="AL749" s="136"/>
      <c r="AM749" s="136"/>
      <c r="AN749" s="136"/>
    </row>
    <row r="750" spans="1:40" s="95" customFormat="1" x14ac:dyDescent="0.25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AJ750" s="142"/>
      <c r="AK750" s="142"/>
      <c r="AL750" s="136"/>
      <c r="AM750" s="136"/>
      <c r="AN750" s="136"/>
    </row>
    <row r="751" spans="1:40" s="95" customFormat="1" x14ac:dyDescent="0.25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AJ751" s="142"/>
      <c r="AK751" s="142"/>
      <c r="AL751" s="136"/>
      <c r="AM751" s="136"/>
      <c r="AN751" s="136"/>
    </row>
    <row r="752" spans="1:40" s="95" customFormat="1" x14ac:dyDescent="0.25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AJ752" s="142"/>
      <c r="AK752" s="142"/>
      <c r="AL752" s="136"/>
      <c r="AM752" s="136"/>
      <c r="AN752" s="136"/>
    </row>
    <row r="753" spans="1:40" s="95" customFormat="1" x14ac:dyDescent="0.25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AJ753" s="142"/>
      <c r="AK753" s="142"/>
      <c r="AL753" s="136"/>
      <c r="AM753" s="136"/>
      <c r="AN753" s="136"/>
    </row>
    <row r="754" spans="1:40" s="95" customFormat="1" x14ac:dyDescent="0.25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AJ754" s="142"/>
      <c r="AK754" s="142"/>
      <c r="AL754" s="136"/>
      <c r="AM754" s="136"/>
      <c r="AN754" s="136"/>
    </row>
    <row r="755" spans="1:40" s="95" customFormat="1" x14ac:dyDescent="0.25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AJ755" s="142"/>
      <c r="AK755" s="142"/>
      <c r="AL755" s="136"/>
      <c r="AM755" s="136"/>
      <c r="AN755" s="136"/>
    </row>
    <row r="756" spans="1:40" s="95" customFormat="1" x14ac:dyDescent="0.25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AJ756" s="142"/>
      <c r="AK756" s="142"/>
      <c r="AL756" s="136"/>
      <c r="AM756" s="136"/>
      <c r="AN756" s="136"/>
    </row>
    <row r="757" spans="1:40" s="95" customFormat="1" x14ac:dyDescent="0.25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AJ757" s="142"/>
      <c r="AK757" s="142"/>
      <c r="AL757" s="136"/>
      <c r="AM757" s="136"/>
      <c r="AN757" s="136"/>
    </row>
    <row r="758" spans="1:40" s="95" customFormat="1" x14ac:dyDescent="0.25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AJ758" s="142"/>
      <c r="AK758" s="142"/>
      <c r="AL758" s="136"/>
      <c r="AM758" s="136"/>
      <c r="AN758" s="136"/>
    </row>
    <row r="759" spans="1:40" s="95" customFormat="1" x14ac:dyDescent="0.25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AJ759" s="142"/>
      <c r="AK759" s="142"/>
      <c r="AL759" s="136"/>
      <c r="AM759" s="136"/>
      <c r="AN759" s="136"/>
    </row>
    <row r="760" spans="1:40" s="95" customFormat="1" x14ac:dyDescent="0.25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AJ760" s="142"/>
      <c r="AK760" s="142"/>
      <c r="AL760" s="136"/>
      <c r="AM760" s="136"/>
      <c r="AN760" s="136"/>
    </row>
    <row r="761" spans="1:40" s="95" customFormat="1" x14ac:dyDescent="0.25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AJ761" s="142"/>
      <c r="AK761" s="142"/>
      <c r="AL761" s="136"/>
      <c r="AM761" s="136"/>
      <c r="AN761" s="136"/>
    </row>
    <row r="762" spans="1:40" s="95" customFormat="1" x14ac:dyDescent="0.25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AJ762" s="142"/>
      <c r="AK762" s="142"/>
      <c r="AL762" s="136"/>
      <c r="AM762" s="136"/>
      <c r="AN762" s="136"/>
    </row>
    <row r="763" spans="1:40" s="95" customFormat="1" x14ac:dyDescent="0.25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AJ763" s="142"/>
      <c r="AK763" s="142"/>
      <c r="AL763" s="136"/>
      <c r="AM763" s="136"/>
      <c r="AN763" s="136"/>
    </row>
    <row r="764" spans="1:40" s="95" customFormat="1" x14ac:dyDescent="0.25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AJ764" s="142"/>
      <c r="AK764" s="142"/>
      <c r="AL764" s="136"/>
      <c r="AM764" s="136"/>
      <c r="AN764" s="136"/>
    </row>
    <row r="765" spans="1:40" s="95" customFormat="1" x14ac:dyDescent="0.25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AJ765" s="142"/>
      <c r="AK765" s="142"/>
      <c r="AL765" s="136"/>
      <c r="AM765" s="136"/>
      <c r="AN765" s="136"/>
    </row>
    <row r="766" spans="1:40" s="95" customFormat="1" x14ac:dyDescent="0.25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AJ766" s="142"/>
      <c r="AK766" s="142"/>
      <c r="AL766" s="136"/>
      <c r="AM766" s="136"/>
      <c r="AN766" s="136"/>
    </row>
    <row r="767" spans="1:40" s="95" customFormat="1" x14ac:dyDescent="0.25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AJ767" s="142"/>
      <c r="AK767" s="142"/>
      <c r="AL767" s="136"/>
      <c r="AM767" s="136"/>
      <c r="AN767" s="136"/>
    </row>
    <row r="768" spans="1:40" s="95" customFormat="1" x14ac:dyDescent="0.25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AJ768" s="142"/>
      <c r="AK768" s="142"/>
      <c r="AL768" s="136"/>
      <c r="AM768" s="136"/>
      <c r="AN768" s="136"/>
    </row>
    <row r="769" spans="1:40" s="95" customFormat="1" x14ac:dyDescent="0.25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AJ769" s="142"/>
      <c r="AK769" s="142"/>
      <c r="AL769" s="136"/>
      <c r="AM769" s="136"/>
      <c r="AN769" s="136"/>
    </row>
    <row r="770" spans="1:40" s="95" customFormat="1" x14ac:dyDescent="0.25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AJ770" s="142"/>
      <c r="AK770" s="142"/>
      <c r="AL770" s="136"/>
      <c r="AM770" s="136"/>
      <c r="AN770" s="136"/>
    </row>
    <row r="771" spans="1:40" s="95" customFormat="1" x14ac:dyDescent="0.25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AJ771" s="142"/>
      <c r="AK771" s="142"/>
      <c r="AL771" s="136"/>
      <c r="AM771" s="136"/>
      <c r="AN771" s="136"/>
    </row>
    <row r="772" spans="1:40" s="95" customFormat="1" x14ac:dyDescent="0.25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AJ772" s="142"/>
      <c r="AK772" s="142"/>
      <c r="AL772" s="136"/>
      <c r="AM772" s="136"/>
      <c r="AN772" s="136"/>
    </row>
    <row r="773" spans="1:40" s="95" customFormat="1" x14ac:dyDescent="0.25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AJ773" s="142"/>
      <c r="AK773" s="142"/>
      <c r="AL773" s="136"/>
      <c r="AM773" s="136"/>
      <c r="AN773" s="136"/>
    </row>
    <row r="774" spans="1:40" s="95" customFormat="1" x14ac:dyDescent="0.25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AJ774" s="142"/>
      <c r="AK774" s="142"/>
      <c r="AL774" s="136"/>
      <c r="AM774" s="136"/>
      <c r="AN774" s="136"/>
    </row>
    <row r="775" spans="1:40" s="95" customFormat="1" x14ac:dyDescent="0.25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AJ775" s="142"/>
      <c r="AK775" s="142"/>
      <c r="AL775" s="136"/>
      <c r="AM775" s="136"/>
      <c r="AN775" s="136"/>
    </row>
    <row r="776" spans="1:40" s="95" customFormat="1" x14ac:dyDescent="0.25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AJ776" s="142"/>
      <c r="AK776" s="142"/>
      <c r="AL776" s="136"/>
      <c r="AM776" s="136"/>
      <c r="AN776" s="136"/>
    </row>
    <row r="777" spans="1:40" s="95" customFormat="1" x14ac:dyDescent="0.25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AJ777" s="142"/>
      <c r="AK777" s="142"/>
      <c r="AL777" s="136"/>
      <c r="AM777" s="136"/>
      <c r="AN777" s="136"/>
    </row>
    <row r="778" spans="1:40" s="95" customFormat="1" x14ac:dyDescent="0.25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AJ778" s="142"/>
      <c r="AK778" s="142"/>
      <c r="AL778" s="136"/>
      <c r="AM778" s="136"/>
      <c r="AN778" s="136"/>
    </row>
    <row r="779" spans="1:40" s="95" customFormat="1" x14ac:dyDescent="0.25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AJ779" s="142"/>
      <c r="AK779" s="142"/>
      <c r="AL779" s="136"/>
      <c r="AM779" s="136"/>
      <c r="AN779" s="136"/>
    </row>
    <row r="780" spans="1:40" s="95" customFormat="1" x14ac:dyDescent="0.25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AJ780" s="142"/>
      <c r="AK780" s="142"/>
      <c r="AL780" s="136"/>
      <c r="AM780" s="136"/>
      <c r="AN780" s="136"/>
    </row>
    <row r="781" spans="1:40" s="95" customFormat="1" x14ac:dyDescent="0.25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AJ781" s="142"/>
      <c r="AK781" s="142"/>
      <c r="AL781" s="136"/>
      <c r="AM781" s="136"/>
      <c r="AN781" s="136"/>
    </row>
    <row r="782" spans="1:40" s="95" customFormat="1" x14ac:dyDescent="0.25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AJ782" s="142"/>
      <c r="AK782" s="142"/>
      <c r="AL782" s="136"/>
      <c r="AM782" s="136"/>
      <c r="AN782" s="136"/>
    </row>
    <row r="783" spans="1:40" s="95" customFormat="1" x14ac:dyDescent="0.25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AJ783" s="142"/>
      <c r="AK783" s="142"/>
      <c r="AL783" s="136"/>
      <c r="AM783" s="136"/>
      <c r="AN783" s="136"/>
    </row>
    <row r="784" spans="1:40" s="95" customFormat="1" x14ac:dyDescent="0.25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AJ784" s="142"/>
      <c r="AK784" s="142"/>
      <c r="AL784" s="136"/>
      <c r="AM784" s="136"/>
      <c r="AN784" s="136"/>
    </row>
    <row r="785" spans="1:40" s="95" customFormat="1" x14ac:dyDescent="0.25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AJ785" s="142"/>
      <c r="AK785" s="142"/>
      <c r="AL785" s="136"/>
      <c r="AM785" s="136"/>
      <c r="AN785" s="136"/>
    </row>
    <row r="786" spans="1:40" s="95" customFormat="1" x14ac:dyDescent="0.25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AJ786" s="142"/>
      <c r="AK786" s="142"/>
      <c r="AL786" s="136"/>
      <c r="AM786" s="136"/>
      <c r="AN786" s="136"/>
    </row>
    <row r="787" spans="1:40" s="95" customFormat="1" x14ac:dyDescent="0.25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AJ787" s="142"/>
      <c r="AK787" s="142"/>
      <c r="AL787" s="136"/>
      <c r="AM787" s="136"/>
      <c r="AN787" s="136"/>
    </row>
    <row r="788" spans="1:40" s="95" customFormat="1" x14ac:dyDescent="0.25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AJ788" s="142"/>
      <c r="AK788" s="142"/>
      <c r="AL788" s="136"/>
      <c r="AM788" s="136"/>
      <c r="AN788" s="136"/>
    </row>
    <row r="789" spans="1:40" s="95" customFormat="1" x14ac:dyDescent="0.25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AJ789" s="142"/>
      <c r="AK789" s="142"/>
      <c r="AL789" s="136"/>
      <c r="AM789" s="136"/>
      <c r="AN789" s="136"/>
    </row>
    <row r="790" spans="1:40" s="95" customFormat="1" x14ac:dyDescent="0.25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AJ790" s="142"/>
      <c r="AK790" s="142"/>
      <c r="AL790" s="136"/>
      <c r="AM790" s="136"/>
      <c r="AN790" s="136"/>
    </row>
    <row r="791" spans="1:40" s="95" customFormat="1" x14ac:dyDescent="0.25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AJ791" s="142"/>
      <c r="AK791" s="142"/>
      <c r="AL791" s="136"/>
      <c r="AM791" s="136"/>
      <c r="AN791" s="136"/>
    </row>
    <row r="792" spans="1:40" s="95" customFormat="1" x14ac:dyDescent="0.25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AJ792" s="142"/>
      <c r="AK792" s="142"/>
      <c r="AL792" s="136"/>
      <c r="AM792" s="136"/>
      <c r="AN792" s="136"/>
    </row>
    <row r="793" spans="1:40" s="95" customFormat="1" x14ac:dyDescent="0.25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AJ793" s="142"/>
      <c r="AK793" s="142"/>
      <c r="AL793" s="136"/>
      <c r="AM793" s="136"/>
      <c r="AN793" s="136"/>
    </row>
    <row r="794" spans="1:40" s="95" customFormat="1" x14ac:dyDescent="0.25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AJ794" s="142"/>
      <c r="AK794" s="142"/>
      <c r="AL794" s="136"/>
      <c r="AM794" s="136"/>
      <c r="AN794" s="136"/>
    </row>
    <row r="795" spans="1:40" s="95" customFormat="1" x14ac:dyDescent="0.25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AJ795" s="142"/>
      <c r="AK795" s="142"/>
      <c r="AL795" s="136"/>
      <c r="AM795" s="136"/>
      <c r="AN795" s="136"/>
    </row>
    <row r="796" spans="1:40" s="95" customFormat="1" x14ac:dyDescent="0.25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AJ796" s="142"/>
      <c r="AK796" s="142"/>
      <c r="AL796" s="136"/>
      <c r="AM796" s="136"/>
      <c r="AN796" s="136"/>
    </row>
    <row r="797" spans="1:40" s="95" customFormat="1" x14ac:dyDescent="0.25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AJ797" s="142"/>
      <c r="AK797" s="142"/>
      <c r="AL797" s="136"/>
      <c r="AM797" s="136"/>
      <c r="AN797" s="136"/>
    </row>
    <row r="798" spans="1:40" s="95" customFormat="1" x14ac:dyDescent="0.25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AJ798" s="142"/>
      <c r="AK798" s="142"/>
      <c r="AL798" s="136"/>
      <c r="AM798" s="136"/>
      <c r="AN798" s="136"/>
    </row>
    <row r="799" spans="1:40" s="95" customFormat="1" x14ac:dyDescent="0.25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AJ799" s="142"/>
      <c r="AK799" s="142"/>
      <c r="AL799" s="136"/>
      <c r="AM799" s="136"/>
      <c r="AN799" s="136"/>
    </row>
    <row r="800" spans="1:40" s="95" customFormat="1" x14ac:dyDescent="0.25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AJ800" s="142"/>
      <c r="AK800" s="142"/>
      <c r="AL800" s="136"/>
      <c r="AM800" s="136"/>
      <c r="AN800" s="136"/>
    </row>
    <row r="801" spans="1:40" s="95" customFormat="1" x14ac:dyDescent="0.25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AJ801" s="142"/>
      <c r="AK801" s="142"/>
      <c r="AL801" s="136"/>
      <c r="AM801" s="136"/>
      <c r="AN801" s="136"/>
    </row>
    <row r="802" spans="1:40" s="95" customFormat="1" x14ac:dyDescent="0.25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AJ802" s="142"/>
      <c r="AK802" s="142"/>
      <c r="AL802" s="136"/>
      <c r="AM802" s="136"/>
      <c r="AN802" s="136"/>
    </row>
    <row r="803" spans="1:40" s="95" customFormat="1" x14ac:dyDescent="0.25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AJ803" s="142"/>
      <c r="AK803" s="142"/>
      <c r="AL803" s="136"/>
      <c r="AM803" s="136"/>
      <c r="AN803" s="136"/>
    </row>
    <row r="804" spans="1:40" s="95" customFormat="1" x14ac:dyDescent="0.25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AJ804" s="142"/>
      <c r="AK804" s="142"/>
      <c r="AL804" s="136"/>
      <c r="AM804" s="136"/>
      <c r="AN804" s="136"/>
    </row>
    <row r="805" spans="1:40" s="95" customFormat="1" x14ac:dyDescent="0.25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AJ805" s="142"/>
      <c r="AK805" s="142"/>
      <c r="AL805" s="136"/>
      <c r="AM805" s="136"/>
      <c r="AN805" s="136"/>
    </row>
    <row r="806" spans="1:40" s="95" customFormat="1" x14ac:dyDescent="0.25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AJ806" s="142"/>
      <c r="AK806" s="142"/>
      <c r="AL806" s="136"/>
      <c r="AM806" s="136"/>
      <c r="AN806" s="136"/>
    </row>
    <row r="807" spans="1:40" s="95" customFormat="1" x14ac:dyDescent="0.25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AJ807" s="142"/>
      <c r="AK807" s="142"/>
      <c r="AL807" s="136"/>
      <c r="AM807" s="136"/>
      <c r="AN807" s="136"/>
    </row>
    <row r="808" spans="1:40" s="95" customFormat="1" x14ac:dyDescent="0.25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AJ808" s="142"/>
      <c r="AK808" s="142"/>
      <c r="AL808" s="136"/>
      <c r="AM808" s="136"/>
      <c r="AN808" s="136"/>
    </row>
    <row r="809" spans="1:40" s="95" customFormat="1" x14ac:dyDescent="0.25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AJ809" s="142"/>
      <c r="AK809" s="142"/>
      <c r="AL809" s="136"/>
      <c r="AM809" s="136"/>
      <c r="AN809" s="136"/>
    </row>
    <row r="810" spans="1:40" s="95" customFormat="1" x14ac:dyDescent="0.25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AJ810" s="142"/>
      <c r="AK810" s="142"/>
      <c r="AL810" s="136"/>
      <c r="AM810" s="136"/>
      <c r="AN810" s="136"/>
    </row>
    <row r="811" spans="1:40" s="95" customFormat="1" x14ac:dyDescent="0.25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AJ811" s="142"/>
      <c r="AK811" s="142"/>
      <c r="AL811" s="136"/>
      <c r="AM811" s="136"/>
      <c r="AN811" s="136"/>
    </row>
    <row r="812" spans="1:40" s="95" customFormat="1" x14ac:dyDescent="0.25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AJ812" s="142"/>
      <c r="AK812" s="142"/>
      <c r="AL812" s="136"/>
      <c r="AM812" s="136"/>
      <c r="AN812" s="136"/>
    </row>
    <row r="813" spans="1:40" s="95" customFormat="1" x14ac:dyDescent="0.25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AJ813" s="142"/>
      <c r="AK813" s="142"/>
      <c r="AL813" s="136"/>
      <c r="AM813" s="136"/>
      <c r="AN813" s="136"/>
    </row>
    <row r="814" spans="1:40" s="95" customFormat="1" x14ac:dyDescent="0.25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AJ814" s="142"/>
      <c r="AK814" s="142"/>
      <c r="AL814" s="136"/>
      <c r="AM814" s="136"/>
      <c r="AN814" s="136"/>
    </row>
    <row r="815" spans="1:40" s="95" customFormat="1" x14ac:dyDescent="0.25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AJ815" s="142"/>
      <c r="AK815" s="142"/>
      <c r="AL815" s="136"/>
      <c r="AM815" s="136"/>
      <c r="AN815" s="136"/>
    </row>
    <row r="816" spans="1:40" s="95" customFormat="1" x14ac:dyDescent="0.25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AJ816" s="142"/>
      <c r="AK816" s="142"/>
      <c r="AL816" s="136"/>
      <c r="AM816" s="136"/>
      <c r="AN816" s="136"/>
    </row>
    <row r="817" spans="1:40" s="95" customFormat="1" x14ac:dyDescent="0.25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AJ817" s="142"/>
      <c r="AK817" s="142"/>
      <c r="AL817" s="136"/>
      <c r="AM817" s="136"/>
      <c r="AN817" s="136"/>
    </row>
    <row r="818" spans="1:40" s="95" customFormat="1" x14ac:dyDescent="0.25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AJ818" s="142"/>
      <c r="AK818" s="142"/>
      <c r="AL818" s="136"/>
      <c r="AM818" s="136"/>
      <c r="AN818" s="136"/>
    </row>
    <row r="819" spans="1:40" s="95" customFormat="1" x14ac:dyDescent="0.25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AJ819" s="142"/>
      <c r="AK819" s="142"/>
      <c r="AL819" s="136"/>
      <c r="AM819" s="136"/>
      <c r="AN819" s="136"/>
    </row>
    <row r="820" spans="1:40" s="95" customFormat="1" x14ac:dyDescent="0.25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AJ820" s="142"/>
      <c r="AK820" s="142"/>
      <c r="AL820" s="136"/>
      <c r="AM820" s="136"/>
      <c r="AN820" s="136"/>
    </row>
    <row r="821" spans="1:40" s="95" customFormat="1" x14ac:dyDescent="0.25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AJ821" s="142"/>
      <c r="AK821" s="142"/>
      <c r="AL821" s="136"/>
      <c r="AM821" s="136"/>
      <c r="AN821" s="136"/>
    </row>
    <row r="822" spans="1:40" s="95" customFormat="1" x14ac:dyDescent="0.25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AJ822" s="142"/>
      <c r="AK822" s="142"/>
      <c r="AL822" s="136"/>
      <c r="AM822" s="136"/>
      <c r="AN822" s="136"/>
    </row>
    <row r="823" spans="1:40" s="95" customFormat="1" x14ac:dyDescent="0.25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AJ823" s="142"/>
      <c r="AK823" s="142"/>
      <c r="AL823" s="136"/>
      <c r="AM823" s="136"/>
      <c r="AN823" s="136"/>
    </row>
    <row r="824" spans="1:40" s="95" customFormat="1" x14ac:dyDescent="0.25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AJ824" s="142"/>
      <c r="AK824" s="142"/>
      <c r="AL824" s="136"/>
      <c r="AM824" s="136"/>
      <c r="AN824" s="136"/>
    </row>
    <row r="825" spans="1:40" s="95" customFormat="1" x14ac:dyDescent="0.25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AJ825" s="142"/>
      <c r="AK825" s="142"/>
      <c r="AL825" s="136"/>
      <c r="AM825" s="136"/>
      <c r="AN825" s="136"/>
    </row>
    <row r="826" spans="1:40" s="95" customFormat="1" x14ac:dyDescent="0.25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AJ826" s="142"/>
      <c r="AK826" s="142"/>
      <c r="AL826" s="136"/>
      <c r="AM826" s="136"/>
      <c r="AN826" s="136"/>
    </row>
    <row r="827" spans="1:40" s="95" customFormat="1" x14ac:dyDescent="0.25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AJ827" s="142"/>
      <c r="AK827" s="142"/>
      <c r="AL827" s="136"/>
      <c r="AM827" s="136"/>
      <c r="AN827" s="136"/>
    </row>
    <row r="828" spans="1:40" s="95" customFormat="1" x14ac:dyDescent="0.25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AJ828" s="142"/>
      <c r="AK828" s="142"/>
      <c r="AL828" s="136"/>
      <c r="AM828" s="136"/>
      <c r="AN828" s="136"/>
    </row>
    <row r="829" spans="1:40" s="95" customFormat="1" x14ac:dyDescent="0.25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AJ829" s="142"/>
      <c r="AK829" s="142"/>
      <c r="AL829" s="136"/>
      <c r="AM829" s="136"/>
      <c r="AN829" s="136"/>
    </row>
    <row r="830" spans="1:40" s="95" customFormat="1" x14ac:dyDescent="0.25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AJ830" s="142"/>
      <c r="AK830" s="142"/>
      <c r="AL830" s="136"/>
      <c r="AM830" s="136"/>
      <c r="AN830" s="136"/>
    </row>
    <row r="831" spans="1:40" s="95" customFormat="1" x14ac:dyDescent="0.25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AJ831" s="142"/>
      <c r="AK831" s="142"/>
      <c r="AL831" s="136"/>
      <c r="AM831" s="136"/>
      <c r="AN831" s="136"/>
    </row>
    <row r="832" spans="1:40" s="95" customFormat="1" x14ac:dyDescent="0.25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AJ832" s="142"/>
      <c r="AK832" s="142"/>
      <c r="AL832" s="136"/>
      <c r="AM832" s="136"/>
      <c r="AN832" s="136"/>
    </row>
    <row r="833" spans="1:40" s="95" customFormat="1" x14ac:dyDescent="0.25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AJ833" s="142"/>
      <c r="AK833" s="142"/>
      <c r="AL833" s="136"/>
      <c r="AM833" s="136"/>
      <c r="AN833" s="136"/>
    </row>
    <row r="834" spans="1:40" s="95" customFormat="1" x14ac:dyDescent="0.25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AJ834" s="142"/>
      <c r="AK834" s="142"/>
      <c r="AL834" s="136"/>
      <c r="AM834" s="136"/>
      <c r="AN834" s="136"/>
    </row>
    <row r="835" spans="1:40" s="95" customFormat="1" x14ac:dyDescent="0.25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AJ835" s="142"/>
      <c r="AK835" s="142"/>
      <c r="AL835" s="136"/>
      <c r="AM835" s="136"/>
      <c r="AN835" s="136"/>
    </row>
    <row r="836" spans="1:40" s="95" customFormat="1" x14ac:dyDescent="0.25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AJ836" s="142"/>
      <c r="AK836" s="142"/>
      <c r="AL836" s="136"/>
      <c r="AM836" s="136"/>
      <c r="AN836" s="136"/>
    </row>
    <row r="837" spans="1:40" s="95" customFormat="1" x14ac:dyDescent="0.25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AJ837" s="142"/>
      <c r="AK837" s="142"/>
      <c r="AL837" s="136"/>
      <c r="AM837" s="136"/>
      <c r="AN837" s="136"/>
    </row>
    <row r="838" spans="1:40" s="95" customFormat="1" x14ac:dyDescent="0.25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AJ838" s="142"/>
      <c r="AK838" s="142"/>
      <c r="AL838" s="136"/>
      <c r="AM838" s="136"/>
      <c r="AN838" s="136"/>
    </row>
    <row r="839" spans="1:40" s="95" customFormat="1" x14ac:dyDescent="0.25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AJ839" s="142"/>
      <c r="AK839" s="142"/>
      <c r="AL839" s="136"/>
      <c r="AM839" s="136"/>
      <c r="AN839" s="136"/>
    </row>
    <row r="840" spans="1:40" s="95" customFormat="1" x14ac:dyDescent="0.25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AJ840" s="142"/>
      <c r="AK840" s="142"/>
      <c r="AL840" s="136"/>
      <c r="AM840" s="136"/>
      <c r="AN840" s="136"/>
    </row>
    <row r="841" spans="1:40" s="95" customFormat="1" x14ac:dyDescent="0.25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AJ841" s="142"/>
      <c r="AK841" s="142"/>
      <c r="AL841" s="136"/>
      <c r="AM841" s="136"/>
      <c r="AN841" s="136"/>
    </row>
    <row r="842" spans="1:40" s="95" customFormat="1" x14ac:dyDescent="0.25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AJ842" s="142"/>
      <c r="AK842" s="142"/>
      <c r="AL842" s="136"/>
      <c r="AM842" s="136"/>
      <c r="AN842" s="136"/>
    </row>
    <row r="843" spans="1:40" s="95" customFormat="1" x14ac:dyDescent="0.25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AJ843" s="142"/>
      <c r="AK843" s="142"/>
      <c r="AL843" s="136"/>
      <c r="AM843" s="136"/>
      <c r="AN843" s="136"/>
    </row>
    <row r="844" spans="1:40" s="95" customFormat="1" x14ac:dyDescent="0.25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AJ844" s="142"/>
      <c r="AK844" s="142"/>
      <c r="AL844" s="136"/>
      <c r="AM844" s="136"/>
      <c r="AN844" s="136"/>
    </row>
    <row r="845" spans="1:40" s="95" customFormat="1" x14ac:dyDescent="0.25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AJ845" s="142"/>
      <c r="AK845" s="142"/>
      <c r="AL845" s="136"/>
      <c r="AM845" s="136"/>
      <c r="AN845" s="136"/>
    </row>
    <row r="846" spans="1:40" s="95" customFormat="1" x14ac:dyDescent="0.25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AJ846" s="142"/>
      <c r="AK846" s="142"/>
      <c r="AL846" s="136"/>
      <c r="AM846" s="136"/>
      <c r="AN846" s="136"/>
    </row>
    <row r="847" spans="1:40" s="95" customFormat="1" x14ac:dyDescent="0.25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AJ847" s="142"/>
      <c r="AK847" s="142"/>
      <c r="AL847" s="136"/>
      <c r="AM847" s="136"/>
      <c r="AN847" s="136"/>
    </row>
    <row r="848" spans="1:40" s="95" customFormat="1" x14ac:dyDescent="0.25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AJ848" s="142"/>
      <c r="AK848" s="142"/>
      <c r="AL848" s="136"/>
      <c r="AM848" s="136"/>
      <c r="AN848" s="136"/>
    </row>
    <row r="849" spans="1:40" s="95" customFormat="1" x14ac:dyDescent="0.25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AJ849" s="142"/>
      <c r="AK849" s="142"/>
      <c r="AL849" s="136"/>
      <c r="AM849" s="136"/>
      <c r="AN849" s="136"/>
    </row>
    <row r="850" spans="1:40" s="95" customFormat="1" x14ac:dyDescent="0.25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AJ850" s="142"/>
      <c r="AK850" s="142"/>
      <c r="AL850" s="136"/>
      <c r="AM850" s="136"/>
      <c r="AN850" s="136"/>
    </row>
    <row r="851" spans="1:40" s="95" customFormat="1" x14ac:dyDescent="0.25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AJ851" s="142"/>
      <c r="AK851" s="142"/>
      <c r="AL851" s="136"/>
      <c r="AM851" s="136"/>
      <c r="AN851" s="136"/>
    </row>
    <row r="852" spans="1:40" s="95" customFormat="1" x14ac:dyDescent="0.25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AJ852" s="142"/>
      <c r="AK852" s="142"/>
      <c r="AL852" s="136"/>
      <c r="AM852" s="136"/>
      <c r="AN852" s="136"/>
    </row>
    <row r="853" spans="1:40" s="95" customFormat="1" x14ac:dyDescent="0.25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AJ853" s="142"/>
      <c r="AK853" s="142"/>
      <c r="AL853" s="136"/>
      <c r="AM853" s="136"/>
      <c r="AN853" s="136"/>
    </row>
    <row r="854" spans="1:40" s="95" customFormat="1" x14ac:dyDescent="0.25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AJ854" s="142"/>
      <c r="AK854" s="142"/>
      <c r="AL854" s="136"/>
      <c r="AM854" s="136"/>
      <c r="AN854" s="136"/>
    </row>
    <row r="855" spans="1:40" s="95" customFormat="1" x14ac:dyDescent="0.25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AJ855" s="142"/>
      <c r="AK855" s="142"/>
      <c r="AL855" s="136"/>
      <c r="AM855" s="136"/>
      <c r="AN855" s="136"/>
    </row>
    <row r="856" spans="1:40" s="95" customFormat="1" x14ac:dyDescent="0.25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AJ856" s="142"/>
      <c r="AK856" s="142"/>
      <c r="AL856" s="136"/>
      <c r="AM856" s="136"/>
      <c r="AN856" s="136"/>
    </row>
    <row r="857" spans="1:40" s="95" customFormat="1" x14ac:dyDescent="0.25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AJ857" s="142"/>
      <c r="AK857" s="142"/>
      <c r="AL857" s="136"/>
      <c r="AM857" s="136"/>
      <c r="AN857" s="136"/>
    </row>
    <row r="858" spans="1:40" s="95" customFormat="1" x14ac:dyDescent="0.25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AJ858" s="142"/>
      <c r="AK858" s="142"/>
      <c r="AL858" s="136"/>
      <c r="AM858" s="136"/>
      <c r="AN858" s="136"/>
    </row>
    <row r="859" spans="1:40" s="95" customFormat="1" x14ac:dyDescent="0.25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AJ859" s="142"/>
      <c r="AK859" s="142"/>
      <c r="AL859" s="136"/>
      <c r="AM859" s="136"/>
      <c r="AN859" s="136"/>
    </row>
    <row r="860" spans="1:40" s="95" customFormat="1" x14ac:dyDescent="0.25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AJ860" s="142"/>
      <c r="AK860" s="142"/>
      <c r="AL860" s="136"/>
      <c r="AM860" s="136"/>
      <c r="AN860" s="136"/>
    </row>
    <row r="861" spans="1:40" s="95" customFormat="1" x14ac:dyDescent="0.25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AJ861" s="142"/>
      <c r="AK861" s="142"/>
      <c r="AL861" s="136"/>
      <c r="AM861" s="136"/>
      <c r="AN861" s="136"/>
    </row>
    <row r="862" spans="1:40" s="95" customFormat="1" x14ac:dyDescent="0.25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AJ862" s="142"/>
      <c r="AK862" s="142"/>
      <c r="AL862" s="136"/>
      <c r="AM862" s="136"/>
      <c r="AN862" s="136"/>
    </row>
    <row r="863" spans="1:40" s="95" customFormat="1" x14ac:dyDescent="0.25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AJ863" s="142"/>
      <c r="AK863" s="142"/>
      <c r="AL863" s="136"/>
      <c r="AM863" s="136"/>
      <c r="AN863" s="136"/>
    </row>
    <row r="864" spans="1:40" s="95" customFormat="1" x14ac:dyDescent="0.25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AJ864" s="142"/>
      <c r="AK864" s="142"/>
      <c r="AL864" s="136"/>
      <c r="AM864" s="136"/>
      <c r="AN864" s="136"/>
    </row>
    <row r="865" spans="1:40" s="95" customFormat="1" x14ac:dyDescent="0.25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AJ865" s="142"/>
      <c r="AK865" s="142"/>
      <c r="AL865" s="136"/>
      <c r="AM865" s="136"/>
      <c r="AN865" s="136"/>
    </row>
    <row r="866" spans="1:40" s="95" customFormat="1" x14ac:dyDescent="0.25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AJ866" s="142"/>
      <c r="AK866" s="142"/>
      <c r="AL866" s="136"/>
      <c r="AM866" s="136"/>
      <c r="AN866" s="136"/>
    </row>
    <row r="867" spans="1:40" s="95" customFormat="1" x14ac:dyDescent="0.25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AJ867" s="142"/>
      <c r="AK867" s="142"/>
      <c r="AL867" s="136"/>
      <c r="AM867" s="136"/>
      <c r="AN867" s="136"/>
    </row>
    <row r="868" spans="1:40" s="95" customFormat="1" x14ac:dyDescent="0.25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AJ868" s="142"/>
      <c r="AK868" s="142"/>
      <c r="AL868" s="136"/>
      <c r="AM868" s="136"/>
      <c r="AN868" s="136"/>
    </row>
    <row r="869" spans="1:40" s="95" customFormat="1" x14ac:dyDescent="0.25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AJ869" s="142"/>
      <c r="AK869" s="142"/>
      <c r="AL869" s="136"/>
      <c r="AM869" s="136"/>
      <c r="AN869" s="136"/>
    </row>
    <row r="870" spans="1:40" s="95" customFormat="1" x14ac:dyDescent="0.25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AJ870" s="142"/>
      <c r="AK870" s="142"/>
      <c r="AL870" s="136"/>
      <c r="AM870" s="136"/>
      <c r="AN870" s="136"/>
    </row>
    <row r="871" spans="1:40" s="95" customFormat="1" x14ac:dyDescent="0.25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AJ871" s="142"/>
      <c r="AK871" s="142"/>
      <c r="AL871" s="136"/>
      <c r="AM871" s="136"/>
      <c r="AN871" s="136"/>
    </row>
    <row r="872" spans="1:40" s="95" customFormat="1" x14ac:dyDescent="0.25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AJ872" s="142"/>
      <c r="AK872" s="142"/>
      <c r="AL872" s="136"/>
      <c r="AM872" s="136"/>
      <c r="AN872" s="136"/>
    </row>
    <row r="873" spans="1:40" s="95" customFormat="1" x14ac:dyDescent="0.25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AJ873" s="142"/>
      <c r="AK873" s="142"/>
      <c r="AL873" s="136"/>
      <c r="AM873" s="136"/>
      <c r="AN873" s="136"/>
    </row>
    <row r="874" spans="1:40" s="95" customFormat="1" x14ac:dyDescent="0.25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AJ874" s="142"/>
      <c r="AK874" s="142"/>
      <c r="AL874" s="136"/>
      <c r="AM874" s="136"/>
      <c r="AN874" s="136"/>
    </row>
    <row r="875" spans="1:40" s="95" customFormat="1" x14ac:dyDescent="0.25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AJ875" s="142"/>
      <c r="AK875" s="142"/>
      <c r="AL875" s="136"/>
      <c r="AM875" s="136"/>
      <c r="AN875" s="136"/>
    </row>
    <row r="876" spans="1:40" s="95" customFormat="1" x14ac:dyDescent="0.25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AJ876" s="142"/>
      <c r="AK876" s="142"/>
      <c r="AL876" s="136"/>
      <c r="AM876" s="136"/>
      <c r="AN876" s="136"/>
    </row>
    <row r="877" spans="1:40" s="95" customFormat="1" x14ac:dyDescent="0.25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AJ877" s="142"/>
      <c r="AK877" s="142"/>
      <c r="AL877" s="136"/>
      <c r="AM877" s="136"/>
      <c r="AN877" s="136"/>
    </row>
    <row r="878" spans="1:40" s="95" customFormat="1" x14ac:dyDescent="0.25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AJ878" s="142"/>
      <c r="AK878" s="142"/>
      <c r="AL878" s="136"/>
      <c r="AM878" s="136"/>
      <c r="AN878" s="136"/>
    </row>
    <row r="879" spans="1:40" s="95" customFormat="1" x14ac:dyDescent="0.25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AJ879" s="142"/>
      <c r="AK879" s="142"/>
      <c r="AL879" s="136"/>
      <c r="AM879" s="136"/>
      <c r="AN879" s="136"/>
    </row>
    <row r="880" spans="1:40" s="95" customFormat="1" x14ac:dyDescent="0.25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AJ880" s="142"/>
      <c r="AK880" s="142"/>
      <c r="AL880" s="136"/>
      <c r="AM880" s="136"/>
      <c r="AN880" s="136"/>
    </row>
    <row r="881" spans="1:40" s="95" customFormat="1" x14ac:dyDescent="0.25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AJ881" s="142"/>
      <c r="AK881" s="142"/>
      <c r="AL881" s="136"/>
      <c r="AM881" s="136"/>
      <c r="AN881" s="136"/>
    </row>
    <row r="882" spans="1:40" s="95" customFormat="1" x14ac:dyDescent="0.25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AJ882" s="142"/>
      <c r="AK882" s="142"/>
      <c r="AL882" s="136"/>
      <c r="AM882" s="136"/>
      <c r="AN882" s="136"/>
    </row>
    <row r="883" spans="1:40" s="95" customFormat="1" x14ac:dyDescent="0.25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AJ883" s="142"/>
      <c r="AK883" s="142"/>
      <c r="AL883" s="136"/>
      <c r="AM883" s="136"/>
      <c r="AN883" s="136"/>
    </row>
    <row r="884" spans="1:40" s="95" customFormat="1" x14ac:dyDescent="0.25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AJ884" s="142"/>
      <c r="AK884" s="142"/>
      <c r="AL884" s="136"/>
      <c r="AM884" s="136"/>
      <c r="AN884" s="136"/>
    </row>
    <row r="885" spans="1:40" s="95" customFormat="1" x14ac:dyDescent="0.25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AJ885" s="142"/>
      <c r="AK885" s="142"/>
      <c r="AL885" s="136"/>
      <c r="AM885" s="136"/>
      <c r="AN885" s="136"/>
    </row>
    <row r="886" spans="1:40" s="95" customFormat="1" x14ac:dyDescent="0.25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AJ886" s="142"/>
      <c r="AK886" s="142"/>
      <c r="AL886" s="136"/>
      <c r="AM886" s="136"/>
      <c r="AN886" s="136"/>
    </row>
    <row r="887" spans="1:40" s="95" customFormat="1" x14ac:dyDescent="0.25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AJ887" s="142"/>
      <c r="AK887" s="142"/>
      <c r="AL887" s="136"/>
      <c r="AM887" s="136"/>
      <c r="AN887" s="136"/>
    </row>
    <row r="888" spans="1:40" s="95" customFormat="1" x14ac:dyDescent="0.25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AJ888" s="142"/>
      <c r="AK888" s="142"/>
      <c r="AL888" s="136"/>
      <c r="AM888" s="136"/>
      <c r="AN888" s="136"/>
    </row>
    <row r="889" spans="1:40" s="95" customFormat="1" x14ac:dyDescent="0.25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AJ889" s="142"/>
      <c r="AK889" s="142"/>
      <c r="AL889" s="136"/>
      <c r="AM889" s="136"/>
      <c r="AN889" s="136"/>
    </row>
    <row r="890" spans="1:40" s="95" customFormat="1" x14ac:dyDescent="0.25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AJ890" s="142"/>
      <c r="AK890" s="142"/>
      <c r="AL890" s="136"/>
      <c r="AM890" s="136"/>
      <c r="AN890" s="136"/>
    </row>
    <row r="891" spans="1:40" s="95" customFormat="1" x14ac:dyDescent="0.25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AJ891" s="142"/>
      <c r="AK891" s="142"/>
      <c r="AL891" s="136"/>
      <c r="AM891" s="136"/>
      <c r="AN891" s="136"/>
    </row>
    <row r="892" spans="1:40" s="95" customFormat="1" x14ac:dyDescent="0.25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AJ892" s="142"/>
      <c r="AK892" s="142"/>
      <c r="AL892" s="136"/>
      <c r="AM892" s="136"/>
      <c r="AN892" s="136"/>
    </row>
    <row r="893" spans="1:40" s="95" customFormat="1" x14ac:dyDescent="0.25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AJ893" s="142"/>
      <c r="AK893" s="142"/>
      <c r="AL893" s="136"/>
      <c r="AM893" s="136"/>
      <c r="AN893" s="136"/>
    </row>
    <row r="894" spans="1:40" s="95" customFormat="1" x14ac:dyDescent="0.25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AJ894" s="142"/>
      <c r="AK894" s="142"/>
      <c r="AL894" s="136"/>
      <c r="AM894" s="136"/>
      <c r="AN894" s="136"/>
    </row>
    <row r="895" spans="1:40" s="95" customFormat="1" x14ac:dyDescent="0.25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AJ895" s="142"/>
      <c r="AK895" s="142"/>
      <c r="AL895" s="136"/>
      <c r="AM895" s="136"/>
      <c r="AN895" s="136"/>
    </row>
    <row r="896" spans="1:40" s="95" customFormat="1" x14ac:dyDescent="0.25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AJ896" s="142"/>
      <c r="AK896" s="142"/>
      <c r="AL896" s="136"/>
      <c r="AM896" s="136"/>
      <c r="AN896" s="136"/>
    </row>
    <row r="897" spans="1:40" s="95" customFormat="1" x14ac:dyDescent="0.25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AJ897" s="142"/>
      <c r="AK897" s="142"/>
      <c r="AL897" s="136"/>
      <c r="AM897" s="136"/>
      <c r="AN897" s="136"/>
    </row>
    <row r="898" spans="1:40" s="95" customFormat="1" x14ac:dyDescent="0.25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AJ898" s="142"/>
      <c r="AK898" s="142"/>
      <c r="AL898" s="136"/>
      <c r="AM898" s="136"/>
      <c r="AN898" s="136"/>
    </row>
    <row r="899" spans="1:40" s="95" customFormat="1" x14ac:dyDescent="0.25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AJ899" s="142"/>
      <c r="AK899" s="142"/>
      <c r="AL899" s="136"/>
      <c r="AM899" s="136"/>
      <c r="AN899" s="136"/>
    </row>
    <row r="900" spans="1:40" s="95" customFormat="1" x14ac:dyDescent="0.25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AJ900" s="142"/>
      <c r="AK900" s="142"/>
      <c r="AL900" s="136"/>
      <c r="AM900" s="136"/>
      <c r="AN900" s="136"/>
    </row>
    <row r="901" spans="1:40" s="95" customFormat="1" x14ac:dyDescent="0.25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AJ901" s="142"/>
      <c r="AK901" s="142"/>
      <c r="AL901" s="136"/>
      <c r="AM901" s="136"/>
      <c r="AN901" s="136"/>
    </row>
    <row r="902" spans="1:40" s="95" customFormat="1" x14ac:dyDescent="0.25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AJ902" s="142"/>
      <c r="AK902" s="142"/>
      <c r="AL902" s="136"/>
      <c r="AM902" s="136"/>
      <c r="AN902" s="136"/>
    </row>
    <row r="903" spans="1:40" s="95" customFormat="1" x14ac:dyDescent="0.25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AJ903" s="142"/>
      <c r="AK903" s="142"/>
      <c r="AL903" s="136"/>
      <c r="AM903" s="136"/>
      <c r="AN903" s="136"/>
    </row>
    <row r="904" spans="1:40" s="95" customFormat="1" x14ac:dyDescent="0.25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AJ904" s="142"/>
      <c r="AK904" s="142"/>
      <c r="AL904" s="136"/>
      <c r="AM904" s="136"/>
      <c r="AN904" s="136"/>
    </row>
    <row r="905" spans="1:40" s="95" customFormat="1" x14ac:dyDescent="0.25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AJ905" s="142"/>
      <c r="AK905" s="142"/>
      <c r="AL905" s="136"/>
      <c r="AM905" s="136"/>
      <c r="AN905" s="136"/>
    </row>
    <row r="906" spans="1:40" s="95" customFormat="1" x14ac:dyDescent="0.25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AJ906" s="142"/>
      <c r="AK906" s="142"/>
      <c r="AL906" s="136"/>
      <c r="AM906" s="136"/>
      <c r="AN906" s="136"/>
    </row>
    <row r="907" spans="1:40" s="95" customFormat="1" x14ac:dyDescent="0.25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AJ907" s="142"/>
      <c r="AK907" s="142"/>
      <c r="AL907" s="136"/>
      <c r="AM907" s="136"/>
      <c r="AN907" s="136"/>
    </row>
    <row r="908" spans="1:40" s="95" customFormat="1" x14ac:dyDescent="0.25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AJ908" s="142"/>
      <c r="AK908" s="142"/>
      <c r="AL908" s="136"/>
      <c r="AM908" s="136"/>
      <c r="AN908" s="136"/>
    </row>
    <row r="909" spans="1:40" s="95" customFormat="1" x14ac:dyDescent="0.25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AJ909" s="142"/>
      <c r="AK909" s="142"/>
      <c r="AL909" s="136"/>
      <c r="AM909" s="136"/>
      <c r="AN909" s="136"/>
    </row>
    <row r="910" spans="1:40" s="95" customFormat="1" x14ac:dyDescent="0.25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AJ910" s="142"/>
      <c r="AK910" s="142"/>
      <c r="AL910" s="136"/>
      <c r="AM910" s="136"/>
      <c r="AN910" s="136"/>
    </row>
    <row r="911" spans="1:40" s="95" customFormat="1" x14ac:dyDescent="0.25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AJ911" s="142"/>
      <c r="AK911" s="142"/>
      <c r="AL911" s="136"/>
      <c r="AM911" s="136"/>
      <c r="AN911" s="136"/>
    </row>
    <row r="912" spans="1:40" s="95" customFormat="1" x14ac:dyDescent="0.25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AJ912" s="142"/>
      <c r="AK912" s="142"/>
      <c r="AL912" s="136"/>
      <c r="AM912" s="136"/>
      <c r="AN912" s="136"/>
    </row>
    <row r="913" spans="1:137" s="1" customFormat="1" ht="15" hidden="1" customHeight="1" x14ac:dyDescent="0.25">
      <c r="R913" s="14"/>
      <c r="T913" s="14"/>
      <c r="BC913" s="2"/>
    </row>
    <row r="914" spans="1:137" s="1" customFormat="1" ht="15" hidden="1" customHeight="1" x14ac:dyDescent="0.25">
      <c r="A914" s="15" t="s">
        <v>152</v>
      </c>
      <c r="B914" s="14"/>
      <c r="C914" s="14"/>
      <c r="D914" s="14"/>
      <c r="E914" s="14"/>
      <c r="F914" s="14"/>
      <c r="G914" s="242" t="s">
        <v>141</v>
      </c>
      <c r="H914" s="231"/>
      <c r="I914" s="325" t="s">
        <v>176</v>
      </c>
      <c r="J914" s="242" t="s">
        <v>24</v>
      </c>
      <c r="K914" s="14"/>
      <c r="L914" s="14"/>
      <c r="M914" s="14"/>
      <c r="N914" s="14"/>
      <c r="O914" s="14"/>
      <c r="P914" s="14"/>
      <c r="Q914" s="14"/>
      <c r="R914" s="14"/>
      <c r="T914" s="231" t="s">
        <v>196</v>
      </c>
      <c r="U914" s="320" t="s">
        <v>191</v>
      </c>
      <c r="V914" s="296"/>
      <c r="W914" s="296"/>
      <c r="X914" s="297"/>
      <c r="Y914" s="321" t="s">
        <v>122</v>
      </c>
      <c r="Z914" s="321"/>
      <c r="AA914" s="321"/>
      <c r="AB914" s="321"/>
      <c r="AC914" s="321"/>
      <c r="AD914" s="321"/>
      <c r="AE914" s="321"/>
      <c r="AF914" s="322"/>
      <c r="AG914" s="296" t="s">
        <v>214</v>
      </c>
      <c r="AH914" s="296"/>
      <c r="AI914" s="296"/>
      <c r="AJ914" s="297"/>
      <c r="AK914" s="298" t="s">
        <v>40</v>
      </c>
      <c r="AL914" s="298"/>
      <c r="AM914" s="298"/>
      <c r="AN914" s="298"/>
      <c r="AO914" s="298"/>
      <c r="AP914" s="298"/>
      <c r="AQ914" s="298"/>
      <c r="AR914" s="299"/>
      <c r="AS914" s="298" t="s">
        <v>133</v>
      </c>
      <c r="AT914" s="298"/>
      <c r="AU914" s="298"/>
      <c r="AV914" s="299"/>
      <c r="AW914" s="298" t="s">
        <v>134</v>
      </c>
      <c r="AX914" s="298"/>
      <c r="AY914" s="298"/>
      <c r="AZ914" s="299"/>
      <c r="BA914" s="271" t="s">
        <v>135</v>
      </c>
      <c r="BB914" s="271"/>
      <c r="BC914" s="298" t="s">
        <v>136</v>
      </c>
      <c r="BD914" s="298"/>
      <c r="BE914" s="298"/>
      <c r="BF914" s="299"/>
      <c r="BG914" s="271" t="s">
        <v>137</v>
      </c>
      <c r="BH914" s="271"/>
      <c r="BI914" s="271"/>
      <c r="BJ914" s="279"/>
      <c r="BK914" s="271" t="s">
        <v>138</v>
      </c>
      <c r="BL914" s="271"/>
      <c r="BM914" s="271"/>
      <c r="BN914" s="279"/>
      <c r="BO914" s="273" t="s">
        <v>139</v>
      </c>
      <c r="BP914" s="279"/>
      <c r="BT914" s="10"/>
    </row>
    <row r="915" spans="1:137" s="1" customFormat="1" hidden="1" x14ac:dyDescent="0.25">
      <c r="A915" s="14"/>
      <c r="B915" s="14"/>
      <c r="C915" s="14"/>
      <c r="D915" s="14"/>
      <c r="E915" s="14"/>
      <c r="F915" s="14"/>
      <c r="G915" s="242"/>
      <c r="H915" s="231"/>
      <c r="I915" s="325"/>
      <c r="J915" s="242"/>
      <c r="K915" s="14"/>
      <c r="L915" s="14"/>
      <c r="M915" s="14"/>
      <c r="N915" s="14"/>
      <c r="O915" s="14"/>
      <c r="P915" s="14"/>
      <c r="Q915" s="14"/>
      <c r="R915" s="14"/>
      <c r="T915" s="231"/>
      <c r="U915" s="320"/>
      <c r="V915" s="296"/>
      <c r="W915" s="296"/>
      <c r="X915" s="297"/>
      <c r="Y915" s="321"/>
      <c r="Z915" s="321"/>
      <c r="AA915" s="321"/>
      <c r="AB915" s="321"/>
      <c r="AC915" s="321"/>
      <c r="AD915" s="321"/>
      <c r="AE915" s="321"/>
      <c r="AF915" s="322"/>
      <c r="AG915" s="296"/>
      <c r="AH915" s="296"/>
      <c r="AI915" s="296"/>
      <c r="AJ915" s="297"/>
      <c r="AK915" s="298"/>
      <c r="AL915" s="298"/>
      <c r="AM915" s="298"/>
      <c r="AN915" s="298"/>
      <c r="AO915" s="298"/>
      <c r="AP915" s="298"/>
      <c r="AQ915" s="298"/>
      <c r="AR915" s="299"/>
      <c r="AS915" s="298"/>
      <c r="AT915" s="298"/>
      <c r="AU915" s="298"/>
      <c r="AV915" s="299"/>
      <c r="AW915" s="298"/>
      <c r="AX915" s="298"/>
      <c r="AY915" s="298"/>
      <c r="AZ915" s="299"/>
      <c r="BA915" s="271"/>
      <c r="BB915" s="271"/>
      <c r="BC915" s="298"/>
      <c r="BD915" s="298"/>
      <c r="BE915" s="298"/>
      <c r="BF915" s="299"/>
      <c r="BG915" s="271"/>
      <c r="BH915" s="271"/>
      <c r="BI915" s="271"/>
      <c r="BJ915" s="279"/>
      <c r="BK915" s="271"/>
      <c r="BL915" s="271"/>
      <c r="BM915" s="271"/>
      <c r="BN915" s="279"/>
      <c r="BO915" s="273"/>
      <c r="BP915" s="279"/>
    </row>
    <row r="916" spans="1:137" s="1" customFormat="1" hidden="1" x14ac:dyDescent="0.25">
      <c r="A916" s="14"/>
      <c r="B916" s="14"/>
      <c r="C916" s="14"/>
      <c r="D916" s="14"/>
      <c r="E916" s="14"/>
      <c r="F916" s="14"/>
      <c r="G916" s="242"/>
      <c r="H916" s="231"/>
      <c r="I916" s="325"/>
      <c r="J916" s="242"/>
      <c r="K916" s="14"/>
      <c r="L916" s="14"/>
      <c r="M916" s="14"/>
      <c r="N916" s="14"/>
      <c r="O916" s="14"/>
      <c r="P916" s="14"/>
      <c r="Q916" s="14"/>
      <c r="R916" s="14"/>
      <c r="T916" s="231"/>
      <c r="U916" s="320"/>
      <c r="V916" s="296"/>
      <c r="W916" s="296"/>
      <c r="X916" s="297"/>
      <c r="Y916" s="321"/>
      <c r="Z916" s="321"/>
      <c r="AA916" s="321"/>
      <c r="AB916" s="321"/>
      <c r="AC916" s="321"/>
      <c r="AD916" s="321"/>
      <c r="AE916" s="321"/>
      <c r="AF916" s="322"/>
      <c r="AG916" s="296"/>
      <c r="AH916" s="296"/>
      <c r="AI916" s="296"/>
      <c r="AJ916" s="297"/>
      <c r="AK916" s="298"/>
      <c r="AL916" s="298"/>
      <c r="AM916" s="298"/>
      <c r="AN916" s="298"/>
      <c r="AO916" s="298"/>
      <c r="AP916" s="298"/>
      <c r="AQ916" s="298"/>
      <c r="AR916" s="299"/>
      <c r="AS916" s="298"/>
      <c r="AT916" s="298"/>
      <c r="AU916" s="298"/>
      <c r="AV916" s="299"/>
      <c r="AW916" s="298"/>
      <c r="AX916" s="298"/>
      <c r="AY916" s="298"/>
      <c r="AZ916" s="299"/>
      <c r="BA916" s="271"/>
      <c r="BB916" s="271"/>
      <c r="BC916" s="298"/>
      <c r="BD916" s="298"/>
      <c r="BE916" s="298"/>
      <c r="BF916" s="299"/>
      <c r="BG916" s="271"/>
      <c r="BH916" s="271"/>
      <c r="BI916" s="271"/>
      <c r="BJ916" s="279"/>
      <c r="BK916" s="271"/>
      <c r="BL916" s="271"/>
      <c r="BM916" s="271"/>
      <c r="BN916" s="279"/>
      <c r="BO916" s="273"/>
      <c r="BP916" s="279"/>
      <c r="BV916" s="16" t="s">
        <v>71</v>
      </c>
      <c r="BW916"/>
      <c r="BX916"/>
      <c r="BY916"/>
      <c r="BZ916"/>
      <c r="CA916"/>
      <c r="CB916"/>
      <c r="CC916"/>
      <c r="CD916"/>
      <c r="EF916"/>
      <c r="EG916"/>
    </row>
    <row r="917" spans="1:137" s="1" customFormat="1" ht="15" hidden="1" customHeight="1" x14ac:dyDescent="0.25">
      <c r="A917" s="5"/>
      <c r="B917" s="5"/>
      <c r="C917" s="5"/>
      <c r="D917" s="5"/>
      <c r="E917" s="5"/>
      <c r="F917" s="5"/>
      <c r="G917" s="242"/>
      <c r="H917" s="231"/>
      <c r="I917" s="325"/>
      <c r="J917" s="242"/>
      <c r="K917" s="5"/>
      <c r="L917" s="5"/>
      <c r="M917" s="5"/>
      <c r="N917" s="5"/>
      <c r="O917" s="5"/>
      <c r="P917" s="5"/>
      <c r="Q917" s="5"/>
      <c r="R917" s="5"/>
      <c r="T917" s="231"/>
      <c r="U917" s="320"/>
      <c r="V917" s="296"/>
      <c r="W917" s="296"/>
      <c r="X917" s="297"/>
      <c r="Y917" s="321"/>
      <c r="Z917" s="321"/>
      <c r="AA917" s="321"/>
      <c r="AB917" s="321"/>
      <c r="AC917" s="321"/>
      <c r="AD917" s="321"/>
      <c r="AE917" s="321"/>
      <c r="AF917" s="322"/>
      <c r="AG917" s="296"/>
      <c r="AH917" s="296"/>
      <c r="AI917" s="296"/>
      <c r="AJ917" s="297"/>
      <c r="AK917" s="298"/>
      <c r="AL917" s="298"/>
      <c r="AM917" s="298"/>
      <c r="AN917" s="298"/>
      <c r="AO917" s="298"/>
      <c r="AP917" s="298"/>
      <c r="AQ917" s="298"/>
      <c r="AR917" s="299"/>
      <c r="AS917" s="298"/>
      <c r="AT917" s="298"/>
      <c r="AU917" s="298"/>
      <c r="AV917" s="299"/>
      <c r="AW917" s="298"/>
      <c r="AX917" s="298"/>
      <c r="AY917" s="298"/>
      <c r="AZ917" s="299"/>
      <c r="BA917" s="271"/>
      <c r="BB917" s="271"/>
      <c r="BC917" s="298"/>
      <c r="BD917" s="298"/>
      <c r="BE917" s="298"/>
      <c r="BF917" s="299"/>
      <c r="BG917" s="271"/>
      <c r="BH917" s="271"/>
      <c r="BI917" s="271"/>
      <c r="BJ917" s="279"/>
      <c r="BK917" s="271"/>
      <c r="BL917" s="271"/>
      <c r="BM917" s="271"/>
      <c r="BN917" s="279"/>
      <c r="BO917" s="273"/>
      <c r="BP917" s="279"/>
      <c r="BT917" s="17" t="s">
        <v>72</v>
      </c>
      <c r="BU917" s="300">
        <f>B949</f>
        <v>7.9129574678536105</v>
      </c>
      <c r="BV917" s="300"/>
      <c r="BX917" t="s">
        <v>73</v>
      </c>
      <c r="BY917"/>
      <c r="BZ917"/>
      <c r="CB917"/>
      <c r="CC917"/>
      <c r="CD917" t="s">
        <v>125</v>
      </c>
      <c r="EF917"/>
      <c r="EG917"/>
    </row>
    <row r="918" spans="1:137" s="1" customFormat="1" ht="15" hidden="1" customHeight="1" x14ac:dyDescent="0.25">
      <c r="A918" s="5"/>
      <c r="G918" s="242"/>
      <c r="H918" s="231"/>
      <c r="I918" s="325"/>
      <c r="J918" s="242"/>
      <c r="T918" s="231"/>
      <c r="U918" s="320"/>
      <c r="V918" s="296"/>
      <c r="W918" s="296"/>
      <c r="X918" s="297"/>
      <c r="Y918" s="321"/>
      <c r="Z918" s="321"/>
      <c r="AA918" s="321"/>
      <c r="AB918" s="321"/>
      <c r="AC918" s="321"/>
      <c r="AD918" s="321"/>
      <c r="AE918" s="321"/>
      <c r="AF918" s="322"/>
      <c r="AG918" s="296"/>
      <c r="AH918" s="296"/>
      <c r="AI918" s="296"/>
      <c r="AJ918" s="297"/>
      <c r="AK918" s="298"/>
      <c r="AL918" s="298"/>
      <c r="AM918" s="298"/>
      <c r="AN918" s="298"/>
      <c r="AO918" s="298"/>
      <c r="AP918" s="298"/>
      <c r="AQ918" s="298"/>
      <c r="AR918" s="299"/>
      <c r="AS918" s="298"/>
      <c r="AT918" s="298"/>
      <c r="AU918" s="298"/>
      <c r="AV918" s="299"/>
      <c r="AW918" s="298"/>
      <c r="AX918" s="298"/>
      <c r="AY918" s="298"/>
      <c r="AZ918" s="299"/>
      <c r="BA918" s="271"/>
      <c r="BB918" s="271"/>
      <c r="BC918" s="298"/>
      <c r="BD918" s="298"/>
      <c r="BE918" s="298"/>
      <c r="BF918" s="299"/>
      <c r="BG918" s="271"/>
      <c r="BH918" s="271"/>
      <c r="BI918" s="271"/>
      <c r="BJ918" s="279"/>
      <c r="BK918" s="271"/>
      <c r="BL918" s="271"/>
      <c r="BM918" s="271"/>
      <c r="BN918" s="279"/>
      <c r="BO918" s="273"/>
      <c r="BP918" s="279"/>
      <c r="BT918" s="17" t="s">
        <v>74</v>
      </c>
      <c r="BU918" s="197">
        <f>IF($D$18=$B$968, 0, IF($D$16=B961, U924, W924 ))</f>
        <v>0</v>
      </c>
      <c r="BV918" s="197"/>
      <c r="BX918" s="18" t="s">
        <v>75</v>
      </c>
      <c r="BY918"/>
      <c r="BZ918"/>
      <c r="CB918"/>
      <c r="CC918"/>
      <c r="CD918" t="s">
        <v>126</v>
      </c>
      <c r="EF918"/>
      <c r="EG918"/>
    </row>
    <row r="919" spans="1:137" s="1" customFormat="1" hidden="1" x14ac:dyDescent="0.25">
      <c r="A919" s="5"/>
      <c r="B919" s="5"/>
      <c r="C919" s="5"/>
      <c r="D919" s="5"/>
      <c r="E919" s="5"/>
      <c r="F919" s="5"/>
      <c r="G919" s="242"/>
      <c r="H919" s="231"/>
      <c r="I919" s="325"/>
      <c r="J919" s="242"/>
      <c r="K919" s="5"/>
      <c r="L919" s="5"/>
      <c r="M919" s="5"/>
      <c r="N919" s="5"/>
      <c r="O919" s="5"/>
      <c r="P919" s="5"/>
      <c r="Q919" s="5"/>
      <c r="R919" s="5"/>
      <c r="T919" s="231"/>
      <c r="U919" s="19"/>
      <c r="V919" s="20"/>
      <c r="W919" s="20"/>
      <c r="X919" s="21"/>
      <c r="Y919" s="244" t="s">
        <v>123</v>
      </c>
      <c r="Z919" s="244"/>
      <c r="AA919" s="244"/>
      <c r="AB919" s="244"/>
      <c r="AC919" s="323" t="s">
        <v>124</v>
      </c>
      <c r="AD919" s="323"/>
      <c r="AE919" s="323"/>
      <c r="AF919" s="324"/>
      <c r="AG919" s="5"/>
      <c r="AH919" s="5"/>
      <c r="AJ919" s="22"/>
      <c r="AK919" s="244" t="s">
        <v>123</v>
      </c>
      <c r="AL919" s="244"/>
      <c r="AM919" s="244"/>
      <c r="AN919" s="244"/>
      <c r="AO919" s="323" t="s">
        <v>124</v>
      </c>
      <c r="AP919" s="323"/>
      <c r="AQ919" s="323"/>
      <c r="AR919" s="324"/>
      <c r="AV919" s="22"/>
      <c r="AZ919" s="22"/>
      <c r="BA919" s="271"/>
      <c r="BB919" s="271"/>
      <c r="BF919" s="22"/>
      <c r="BJ919" s="22"/>
      <c r="BN919" s="22"/>
      <c r="BO919" s="273"/>
      <c r="BP919" s="279"/>
      <c r="BT919" s="17" t="s">
        <v>76</v>
      </c>
      <c r="BU919" s="197">
        <f ca="1">IF(D18=B968, IF(D16=B961, Y924, AA924 ), IF(D18=B969,IF(D16=B961, AC924, AE924),Y924 ))</f>
        <v>-7.2</v>
      </c>
      <c r="BV919" s="197"/>
      <c r="BX919" s="18" t="s">
        <v>37</v>
      </c>
      <c r="BY919"/>
      <c r="BZ919"/>
      <c r="CB919"/>
      <c r="CC919"/>
      <c r="CD919" t="s">
        <v>127</v>
      </c>
      <c r="EF919"/>
      <c r="EG919"/>
    </row>
    <row r="920" spans="1:137" s="1" customFormat="1" ht="15" hidden="1" customHeight="1" x14ac:dyDescent="0.25">
      <c r="A920" s="5"/>
      <c r="B920" s="5"/>
      <c r="G920" s="242"/>
      <c r="H920" s="231"/>
      <c r="I920" s="325"/>
      <c r="J920" s="242"/>
      <c r="T920" s="231"/>
      <c r="U920" s="273" t="s">
        <v>36</v>
      </c>
      <c r="V920" s="271"/>
      <c r="W920" s="271" t="s">
        <v>35</v>
      </c>
      <c r="X920" s="279"/>
      <c r="Y920" s="271" t="s">
        <v>36</v>
      </c>
      <c r="Z920" s="271"/>
      <c r="AA920" s="271" t="s">
        <v>35</v>
      </c>
      <c r="AB920" s="271"/>
      <c r="AC920" s="271" t="s">
        <v>36</v>
      </c>
      <c r="AD920" s="271"/>
      <c r="AE920" s="271" t="s">
        <v>35</v>
      </c>
      <c r="AF920" s="279"/>
      <c r="AG920" s="271" t="s">
        <v>123</v>
      </c>
      <c r="AH920" s="271"/>
      <c r="AI920" s="277" t="s">
        <v>124</v>
      </c>
      <c r="AJ920" s="278"/>
      <c r="AK920" s="271" t="s">
        <v>36</v>
      </c>
      <c r="AL920" s="271"/>
      <c r="AM920" s="271" t="s">
        <v>35</v>
      </c>
      <c r="AN920" s="271"/>
      <c r="AO920" s="271" t="s">
        <v>36</v>
      </c>
      <c r="AP920" s="271"/>
      <c r="AQ920" s="271" t="s">
        <v>35</v>
      </c>
      <c r="AR920" s="279"/>
      <c r="AS920" s="271" t="s">
        <v>123</v>
      </c>
      <c r="AT920" s="271"/>
      <c r="AU920" s="277" t="s">
        <v>124</v>
      </c>
      <c r="AV920" s="278"/>
      <c r="AW920" s="271" t="s">
        <v>123</v>
      </c>
      <c r="AX920" s="271"/>
      <c r="AY920" s="277" t="s">
        <v>124</v>
      </c>
      <c r="AZ920" s="278"/>
      <c r="BA920" s="271"/>
      <c r="BB920" s="271"/>
      <c r="BC920" s="271" t="s">
        <v>36</v>
      </c>
      <c r="BD920" s="271"/>
      <c r="BE920" s="271" t="s">
        <v>35</v>
      </c>
      <c r="BF920" s="279"/>
      <c r="BG920" s="271" t="s">
        <v>36</v>
      </c>
      <c r="BH920" s="271"/>
      <c r="BI920" s="271" t="s">
        <v>35</v>
      </c>
      <c r="BJ920" s="279"/>
      <c r="BK920" s="271" t="s">
        <v>123</v>
      </c>
      <c r="BL920" s="271"/>
      <c r="BM920" s="277" t="s">
        <v>124</v>
      </c>
      <c r="BN920" s="278"/>
      <c r="BO920" s="273"/>
      <c r="BP920" s="279"/>
      <c r="BT920" s="17" t="s">
        <v>77</v>
      </c>
      <c r="BU920" s="291">
        <f ca="1">IF(M924=1,IF($D$18=$B$968,AG924,IF($D$18=$B$969,AI924,AG924)),AG924)</f>
        <v>2</v>
      </c>
      <c r="BV920" s="291"/>
      <c r="BX920" s="18" t="s">
        <v>38</v>
      </c>
      <c r="BY920"/>
      <c r="BZ920"/>
      <c r="CB920"/>
      <c r="CC920"/>
      <c r="CD920" t="s">
        <v>128</v>
      </c>
      <c r="EF920"/>
      <c r="EG920"/>
    </row>
    <row r="921" spans="1:137" s="1" customFormat="1" ht="15" hidden="1" customHeight="1" x14ac:dyDescent="0.25">
      <c r="A921" s="5"/>
      <c r="B921" s="5"/>
      <c r="G921" s="242"/>
      <c r="H921" s="231"/>
      <c r="I921" s="325"/>
      <c r="J921" s="242"/>
      <c r="T921" s="231"/>
      <c r="U921" s="273"/>
      <c r="V921" s="271"/>
      <c r="W921" s="271"/>
      <c r="X921" s="279"/>
      <c r="Y921" s="271"/>
      <c r="Z921" s="271"/>
      <c r="AA921" s="271"/>
      <c r="AB921" s="271"/>
      <c r="AC921" s="271"/>
      <c r="AD921" s="271"/>
      <c r="AE921" s="271"/>
      <c r="AF921" s="279"/>
      <c r="AG921" s="271"/>
      <c r="AH921" s="271"/>
      <c r="AI921" s="277"/>
      <c r="AJ921" s="278"/>
      <c r="AK921" s="271"/>
      <c r="AL921" s="271"/>
      <c r="AM921" s="271"/>
      <c r="AN921" s="271"/>
      <c r="AO921" s="271"/>
      <c r="AP921" s="271"/>
      <c r="AQ921" s="271"/>
      <c r="AR921" s="279"/>
      <c r="AS921" s="271"/>
      <c r="AT921" s="271"/>
      <c r="AU921" s="277"/>
      <c r="AV921" s="278"/>
      <c r="AW921" s="271"/>
      <c r="AX921" s="271"/>
      <c r="AY921" s="277"/>
      <c r="AZ921" s="278"/>
      <c r="BA921" s="271"/>
      <c r="BB921" s="271"/>
      <c r="BC921" s="271"/>
      <c r="BD921" s="271"/>
      <c r="BE921" s="271"/>
      <c r="BF921" s="279"/>
      <c r="BG921" s="271"/>
      <c r="BH921" s="271"/>
      <c r="BI921" s="271"/>
      <c r="BJ921" s="279"/>
      <c r="BK921" s="271"/>
      <c r="BL921" s="271"/>
      <c r="BM921" s="277"/>
      <c r="BN921" s="278"/>
      <c r="BO921" s="273"/>
      <c r="BP921" s="279"/>
      <c r="BT921" s="17" t="s">
        <v>78</v>
      </c>
      <c r="BU921" s="292">
        <f ca="1">IF(N924=1,IF(D18=B968,IF(D16=B961,AK924,AM924),IF(D18=B969,IF(D16=B961,AO924,AQ924),AK924)),AK924)</f>
        <v>2</v>
      </c>
      <c r="BV921" s="292"/>
      <c r="BX921" s="18" t="s">
        <v>39</v>
      </c>
      <c r="BY921"/>
      <c r="BZ921"/>
      <c r="CB921" s="23"/>
      <c r="CC921" s="23"/>
      <c r="CD921" t="s">
        <v>129</v>
      </c>
      <c r="EF921" s="23"/>
      <c r="EG921" s="23"/>
    </row>
    <row r="922" spans="1:137" s="1" customFormat="1" ht="15" hidden="1" customHeight="1" x14ac:dyDescent="0.25">
      <c r="A922" s="244" t="s">
        <v>143</v>
      </c>
      <c r="B922" s="244"/>
      <c r="C922" s="244"/>
      <c r="D922" s="244"/>
      <c r="E922" s="244"/>
      <c r="F922" s="244"/>
      <c r="G922" s="242"/>
      <c r="H922" s="231"/>
      <c r="I922" s="325"/>
      <c r="J922" s="242"/>
      <c r="T922" s="231"/>
      <c r="U922" s="273"/>
      <c r="V922" s="271"/>
      <c r="W922" s="271"/>
      <c r="X922" s="279"/>
      <c r="Y922" s="271"/>
      <c r="Z922" s="271"/>
      <c r="AA922" s="271"/>
      <c r="AB922" s="271"/>
      <c r="AC922" s="271"/>
      <c r="AD922" s="271"/>
      <c r="AE922" s="271"/>
      <c r="AF922" s="279"/>
      <c r="AG922" s="271"/>
      <c r="AH922" s="271"/>
      <c r="AI922" s="277"/>
      <c r="AJ922" s="278"/>
      <c r="AK922" s="271"/>
      <c r="AL922" s="271"/>
      <c r="AM922" s="271"/>
      <c r="AN922" s="271"/>
      <c r="AO922" s="271"/>
      <c r="AP922" s="271"/>
      <c r="AQ922" s="271"/>
      <c r="AR922" s="279"/>
      <c r="AS922" s="271"/>
      <c r="AT922" s="271"/>
      <c r="AU922" s="277"/>
      <c r="AV922" s="278"/>
      <c r="AW922" s="271"/>
      <c r="AX922" s="271"/>
      <c r="AY922" s="277"/>
      <c r="AZ922" s="278"/>
      <c r="BA922" s="271"/>
      <c r="BB922" s="271"/>
      <c r="BC922" s="271"/>
      <c r="BD922" s="271"/>
      <c r="BE922" s="271"/>
      <c r="BF922" s="279"/>
      <c r="BG922" s="271"/>
      <c r="BH922" s="271"/>
      <c r="BI922" s="271"/>
      <c r="BJ922" s="279"/>
      <c r="BK922" s="271"/>
      <c r="BL922" s="271"/>
      <c r="BM922" s="277"/>
      <c r="BN922" s="278"/>
      <c r="BO922" s="273"/>
      <c r="BP922" s="279"/>
      <c r="BT922" s="17" t="s">
        <v>79</v>
      </c>
      <c r="BU922" s="291">
        <f ca="1">IF(O924=1,IF($D$18=$B$969,AU924,AS924),AS924)</f>
        <v>1</v>
      </c>
      <c r="BV922" s="291"/>
      <c r="BX922" s="18" t="s">
        <v>80</v>
      </c>
      <c r="BY922"/>
      <c r="BZ922"/>
      <c r="CB922"/>
      <c r="CC922"/>
      <c r="CD922" t="s">
        <v>130</v>
      </c>
      <c r="EF922"/>
      <c r="EG922"/>
    </row>
    <row r="923" spans="1:137" s="1" customFormat="1" ht="15.75" hidden="1" customHeight="1" thickBot="1" x14ac:dyDescent="0.3">
      <c r="A923" s="245"/>
      <c r="B923" s="245"/>
      <c r="C923" s="245"/>
      <c r="D923" s="245"/>
      <c r="E923" s="245"/>
      <c r="F923" s="245"/>
      <c r="G923" s="243"/>
      <c r="H923" s="232"/>
      <c r="I923" s="326"/>
      <c r="J923" s="243"/>
      <c r="K923" s="24" t="s">
        <v>74</v>
      </c>
      <c r="L923" s="24" t="s">
        <v>76</v>
      </c>
      <c r="M923" s="24" t="s">
        <v>77</v>
      </c>
      <c r="N923" s="24" t="s">
        <v>78</v>
      </c>
      <c r="O923" s="24" t="s">
        <v>79</v>
      </c>
      <c r="P923" s="24" t="s">
        <v>81</v>
      </c>
      <c r="Q923" s="24" t="s">
        <v>2</v>
      </c>
      <c r="R923" s="24" t="s">
        <v>115</v>
      </c>
      <c r="S923" s="24" t="s">
        <v>118</v>
      </c>
      <c r="T923" s="232"/>
      <c r="U923" s="276" t="s">
        <v>41</v>
      </c>
      <c r="V923" s="274"/>
      <c r="W923" s="274" t="s">
        <v>42</v>
      </c>
      <c r="X923" s="275"/>
      <c r="Y923" s="274" t="s">
        <v>43</v>
      </c>
      <c r="Z923" s="274"/>
      <c r="AA923" s="274" t="s">
        <v>44</v>
      </c>
      <c r="AB923" s="274"/>
      <c r="AC923" s="274" t="s">
        <v>45</v>
      </c>
      <c r="AD923" s="274"/>
      <c r="AE923" s="274" t="s">
        <v>46</v>
      </c>
      <c r="AF923" s="275"/>
      <c r="AG923" s="274" t="s">
        <v>47</v>
      </c>
      <c r="AH923" s="274"/>
      <c r="AI923" s="274" t="s">
        <v>48</v>
      </c>
      <c r="AJ923" s="275"/>
      <c r="AK923" s="274" t="s">
        <v>49</v>
      </c>
      <c r="AL923" s="274"/>
      <c r="AM923" s="274" t="s">
        <v>50</v>
      </c>
      <c r="AN923" s="274"/>
      <c r="AO923" s="274" t="s">
        <v>51</v>
      </c>
      <c r="AP923" s="274"/>
      <c r="AQ923" s="274" t="s">
        <v>52</v>
      </c>
      <c r="AR923" s="275"/>
      <c r="AS923" s="274" t="s">
        <v>53</v>
      </c>
      <c r="AT923" s="274"/>
      <c r="AU923" s="274" t="s">
        <v>54</v>
      </c>
      <c r="AV923" s="275"/>
      <c r="AW923" s="274" t="s">
        <v>55</v>
      </c>
      <c r="AX923" s="274"/>
      <c r="AY923" s="274" t="s">
        <v>56</v>
      </c>
      <c r="AZ923" s="275"/>
      <c r="BA923" s="274" t="s">
        <v>57</v>
      </c>
      <c r="BB923" s="274"/>
      <c r="BC923" s="274" t="s">
        <v>58</v>
      </c>
      <c r="BD923" s="274"/>
      <c r="BE923" s="274" t="s">
        <v>59</v>
      </c>
      <c r="BF923" s="275"/>
      <c r="BG923" s="274" t="s">
        <v>60</v>
      </c>
      <c r="BH923" s="274"/>
      <c r="BI923" s="274" t="s">
        <v>61</v>
      </c>
      <c r="BJ923" s="275"/>
      <c r="BK923" s="274" t="s">
        <v>62</v>
      </c>
      <c r="BL923" s="274"/>
      <c r="BM923" s="274" t="s">
        <v>63</v>
      </c>
      <c r="BN923" s="275"/>
      <c r="BO923" s="276" t="s">
        <v>64</v>
      </c>
      <c r="BP923" s="275"/>
      <c r="BT923" s="17" t="s">
        <v>81</v>
      </c>
      <c r="BU923" s="292">
        <f ca="1">IF(P924=1,IF($D$18=$B$969,AY924,AW924),AW924)</f>
        <v>1</v>
      </c>
      <c r="BV923" s="292"/>
      <c r="BX923" s="18" t="s">
        <v>82</v>
      </c>
      <c r="BY923"/>
      <c r="BZ923"/>
      <c r="CB923"/>
      <c r="CC923"/>
      <c r="CD923" t="s">
        <v>131</v>
      </c>
      <c r="EF923"/>
      <c r="EG923"/>
    </row>
    <row r="924" spans="1:137" s="1" customFormat="1" ht="16.5" hidden="1" customHeight="1" thickTop="1" thickBot="1" x14ac:dyDescent="0.3">
      <c r="A924" s="239" t="s">
        <v>140</v>
      </c>
      <c r="B924" s="239"/>
      <c r="C924" s="239"/>
      <c r="D924" s="239"/>
      <c r="E924" s="239"/>
      <c r="F924" s="239"/>
      <c r="G924" s="240">
        <f>SUM(H926:H945)</f>
        <v>1</v>
      </c>
      <c r="H924" s="241"/>
      <c r="I924" s="25"/>
      <c r="J924" s="26" cm="1">
        <f t="array" aca="1" ref="J924:BP924" ca="1">OFFSET(J925:BP925,G924,0,1,59)</f>
        <v>1</v>
      </c>
      <c r="K924" s="27">
        <f ca="1"/>
        <v>1</v>
      </c>
      <c r="L924" s="28">
        <f ca="1"/>
        <v>1</v>
      </c>
      <c r="M924" s="28">
        <f ca="1"/>
        <v>1</v>
      </c>
      <c r="N924" s="28">
        <f ca="1"/>
        <v>1</v>
      </c>
      <c r="O924" s="28">
        <f ca="1"/>
        <v>1</v>
      </c>
      <c r="P924" s="28">
        <f ca="1"/>
        <v>1</v>
      </c>
      <c r="Q924" s="28">
        <f ca="1"/>
        <v>0</v>
      </c>
      <c r="R924" s="28">
        <f ca="1"/>
        <v>1</v>
      </c>
      <c r="S924" s="28">
        <f ca="1"/>
        <v>1</v>
      </c>
      <c r="T924" s="28">
        <f ca="1"/>
        <v>0</v>
      </c>
      <c r="U924" s="29">
        <f ca="1"/>
        <v>0</v>
      </c>
      <c r="V924" s="30">
        <f ca="1"/>
        <v>0</v>
      </c>
      <c r="W924" s="31">
        <f ca="1"/>
        <v>1.05</v>
      </c>
      <c r="X924" s="32">
        <f ca="1"/>
        <v>0</v>
      </c>
      <c r="Y924" s="33">
        <f ca="1"/>
        <v>-7.2</v>
      </c>
      <c r="Z924" s="34">
        <f ca="1"/>
        <v>0</v>
      </c>
      <c r="AA924" s="31">
        <f ca="1"/>
        <v>-6.7</v>
      </c>
      <c r="AB924" s="34">
        <f ca="1"/>
        <v>0</v>
      </c>
      <c r="AC924" s="31">
        <f ca="1"/>
        <v>0.75</v>
      </c>
      <c r="AD924" s="34">
        <f ca="1"/>
        <v>0</v>
      </c>
      <c r="AE924" s="31">
        <f ca="1"/>
        <v>1.45</v>
      </c>
      <c r="AF924" s="34">
        <f ca="1"/>
        <v>0</v>
      </c>
      <c r="AG924" s="33">
        <f ca="1"/>
        <v>2</v>
      </c>
      <c r="AH924" s="34">
        <f ca="1"/>
        <v>0</v>
      </c>
      <c r="AI924" s="31">
        <f ca="1"/>
        <v>1</v>
      </c>
      <c r="AJ924" s="34">
        <f ca="1"/>
        <v>0</v>
      </c>
      <c r="AK924" s="33">
        <f ca="1"/>
        <v>2</v>
      </c>
      <c r="AL924" s="34">
        <f ca="1"/>
        <v>0</v>
      </c>
      <c r="AM924" s="31">
        <f ca="1"/>
        <v>0</v>
      </c>
      <c r="AN924" s="34">
        <f ca="1"/>
        <v>0</v>
      </c>
      <c r="AO924" s="31">
        <f ca="1"/>
        <v>1</v>
      </c>
      <c r="AP924" s="34">
        <f ca="1"/>
        <v>0</v>
      </c>
      <c r="AQ924" s="31">
        <f ca="1"/>
        <v>0</v>
      </c>
      <c r="AR924" s="34">
        <f ca="1"/>
        <v>0</v>
      </c>
      <c r="AS924" s="33">
        <f ca="1"/>
        <v>1</v>
      </c>
      <c r="AT924" s="34">
        <f ca="1"/>
        <v>0</v>
      </c>
      <c r="AU924" s="31">
        <f ca="1"/>
        <v>0</v>
      </c>
      <c r="AV924" s="34">
        <f ca="1"/>
        <v>0</v>
      </c>
      <c r="AW924" s="33">
        <f ca="1"/>
        <v>1</v>
      </c>
      <c r="AX924" s="34">
        <f ca="1"/>
        <v>0</v>
      </c>
      <c r="AY924" s="31">
        <f ca="1"/>
        <v>0</v>
      </c>
      <c r="AZ924" s="34">
        <f ca="1"/>
        <v>0</v>
      </c>
      <c r="BA924" s="33">
        <f ca="1"/>
        <v>6.5</v>
      </c>
      <c r="BB924" s="34">
        <f ca="1"/>
        <v>0</v>
      </c>
      <c r="BC924" s="31">
        <f ca="1"/>
        <v>4</v>
      </c>
      <c r="BD924" s="34">
        <f ca="1"/>
        <v>0</v>
      </c>
      <c r="BE924" s="31">
        <f ca="1"/>
        <v>0</v>
      </c>
      <c r="BF924" s="34">
        <f ca="1"/>
        <v>0</v>
      </c>
      <c r="BG924" s="33">
        <f ca="1"/>
        <v>2</v>
      </c>
      <c r="BH924" s="34">
        <f ca="1"/>
        <v>0</v>
      </c>
      <c r="BI924" s="31">
        <f ca="1"/>
        <v>1</v>
      </c>
      <c r="BJ924" s="34">
        <f ca="1"/>
        <v>0</v>
      </c>
      <c r="BK924" s="33">
        <f ca="1"/>
        <v>8</v>
      </c>
      <c r="BL924" s="34">
        <f ca="1"/>
        <v>0</v>
      </c>
      <c r="BM924" s="31">
        <f ca="1"/>
        <v>2.9</v>
      </c>
      <c r="BN924" s="34">
        <f ca="1"/>
        <v>0</v>
      </c>
      <c r="BO924" s="35">
        <f ca="1"/>
        <v>1.5</v>
      </c>
      <c r="BP924" s="36">
        <f ca="1"/>
        <v>0</v>
      </c>
      <c r="BT924" s="17" t="s">
        <v>83</v>
      </c>
      <c r="BU924" s="197">
        <f ca="1">IF($D$16=$B$961,U924,W924)</f>
        <v>0</v>
      </c>
      <c r="BV924" s="197"/>
      <c r="BX924" s="18" t="s">
        <v>75</v>
      </c>
      <c r="BY924"/>
      <c r="BZ924"/>
      <c r="CB924" s="37"/>
      <c r="CC924" s="37"/>
      <c r="CD924" t="s">
        <v>132</v>
      </c>
      <c r="EF924" s="37"/>
      <c r="EG924" s="37"/>
    </row>
    <row r="925" spans="1:137" s="1" customFormat="1" ht="4.5" hidden="1" customHeight="1" thickTop="1" thickBot="1" x14ac:dyDescent="0.3">
      <c r="A925" s="257"/>
      <c r="B925" s="257"/>
      <c r="C925" s="257"/>
      <c r="D925" s="257"/>
      <c r="E925" s="257"/>
      <c r="F925" s="257"/>
      <c r="G925" s="38"/>
      <c r="H925" s="39"/>
      <c r="I925" s="40"/>
      <c r="J925" s="40"/>
      <c r="K925" s="41"/>
      <c r="L925" s="40"/>
      <c r="M925" s="40"/>
      <c r="N925" s="40"/>
      <c r="O925" s="40"/>
      <c r="P925" s="40"/>
      <c r="Q925" s="40"/>
      <c r="R925" s="40"/>
      <c r="S925" s="40"/>
      <c r="T925" s="40"/>
      <c r="U925" s="258"/>
      <c r="V925" s="259"/>
      <c r="W925" s="235"/>
      <c r="X925" s="236"/>
      <c r="Y925" s="258"/>
      <c r="Z925" s="259"/>
      <c r="AA925" s="259"/>
      <c r="AB925" s="259"/>
      <c r="AC925" s="235"/>
      <c r="AD925" s="235"/>
      <c r="AE925" s="235"/>
      <c r="AF925" s="236"/>
      <c r="AG925" s="235"/>
      <c r="AH925" s="235"/>
      <c r="AI925" s="235"/>
      <c r="AJ925" s="236"/>
      <c r="AK925" s="235"/>
      <c r="AL925" s="235"/>
      <c r="AM925" s="235"/>
      <c r="AN925" s="235"/>
      <c r="AO925" s="235"/>
      <c r="AP925" s="235"/>
      <c r="AQ925" s="235"/>
      <c r="AR925" s="236"/>
      <c r="AS925" s="235"/>
      <c r="AT925" s="235"/>
      <c r="AU925" s="235"/>
      <c r="AV925" s="236"/>
      <c r="AW925" s="235"/>
      <c r="AX925" s="235"/>
      <c r="AY925" s="235"/>
      <c r="AZ925" s="236"/>
      <c r="BA925" s="235"/>
      <c r="BB925" s="235"/>
      <c r="BC925" s="235"/>
      <c r="BD925" s="235"/>
      <c r="BE925" s="235"/>
      <c r="BF925" s="236"/>
      <c r="BG925" s="235"/>
      <c r="BH925" s="235"/>
      <c r="BI925" s="235"/>
      <c r="BJ925" s="236"/>
      <c r="BK925" s="235"/>
      <c r="BL925" s="235"/>
      <c r="BM925" s="235"/>
      <c r="BN925" s="236"/>
      <c r="BO925" s="42"/>
      <c r="BP925" s="43"/>
    </row>
    <row r="926" spans="1:137" s="1" customFormat="1" ht="15.75" hidden="1" thickTop="1" x14ac:dyDescent="0.25">
      <c r="A926" s="197" t="s">
        <v>65</v>
      </c>
      <c r="B926" s="197"/>
      <c r="C926" s="197"/>
      <c r="D926" s="197"/>
      <c r="E926" s="197"/>
      <c r="F926" s="197"/>
      <c r="G926" s="44">
        <v>1</v>
      </c>
      <c r="H926" s="45">
        <f t="shared" ref="H926:H945" si="0">IF(A926=$D$8,G926,0)</f>
        <v>1</v>
      </c>
      <c r="J926" s="44">
        <v>1</v>
      </c>
      <c r="K926" s="1">
        <v>1</v>
      </c>
      <c r="L926" s="1">
        <v>1</v>
      </c>
      <c r="M926" s="1">
        <v>1</v>
      </c>
      <c r="N926" s="1">
        <v>1</v>
      </c>
      <c r="O926" s="1">
        <v>1</v>
      </c>
      <c r="P926" s="1">
        <v>1</v>
      </c>
      <c r="R926" s="1">
        <v>1</v>
      </c>
      <c r="S926" s="1">
        <v>1</v>
      </c>
      <c r="U926" s="216">
        <v>0</v>
      </c>
      <c r="V926" s="215"/>
      <c r="W926" s="215">
        <v>1.05</v>
      </c>
      <c r="X926" s="217"/>
      <c r="Y926" s="216">
        <v>-7.2</v>
      </c>
      <c r="Z926" s="215"/>
      <c r="AA926" s="215">
        <v>-6.7</v>
      </c>
      <c r="AB926" s="215"/>
      <c r="AC926" s="215">
        <v>0.75</v>
      </c>
      <c r="AD926" s="215"/>
      <c r="AE926" s="215">
        <v>1.45</v>
      </c>
      <c r="AF926" s="217"/>
      <c r="AG926" s="216">
        <v>2</v>
      </c>
      <c r="AH926" s="215"/>
      <c r="AI926" s="215">
        <v>1</v>
      </c>
      <c r="AJ926" s="217"/>
      <c r="AK926" s="216">
        <v>2</v>
      </c>
      <c r="AL926" s="215"/>
      <c r="AM926" s="215">
        <v>0</v>
      </c>
      <c r="AN926" s="215"/>
      <c r="AO926" s="215">
        <v>1</v>
      </c>
      <c r="AP926" s="215"/>
      <c r="AQ926" s="215">
        <v>0</v>
      </c>
      <c r="AR926" s="217"/>
      <c r="AS926" s="216">
        <v>1</v>
      </c>
      <c r="AT926" s="215"/>
      <c r="AU926" s="289">
        <v>0</v>
      </c>
      <c r="AV926" s="290"/>
      <c r="AW926" s="216">
        <v>1</v>
      </c>
      <c r="AX926" s="215"/>
      <c r="AY926" s="215">
        <v>0</v>
      </c>
      <c r="AZ926" s="217"/>
      <c r="BA926" s="312">
        <v>6.5</v>
      </c>
      <c r="BB926" s="238"/>
      <c r="BC926" s="238">
        <v>4</v>
      </c>
      <c r="BD926" s="238"/>
      <c r="BE926" s="238"/>
      <c r="BF926" s="238"/>
      <c r="BG926" s="216">
        <v>2</v>
      </c>
      <c r="BH926" s="215"/>
      <c r="BI926" s="215">
        <v>1</v>
      </c>
      <c r="BJ926" s="217"/>
      <c r="BK926" s="216">
        <v>8</v>
      </c>
      <c r="BL926" s="215"/>
      <c r="BM926" s="215">
        <v>2.9</v>
      </c>
      <c r="BN926" s="217"/>
      <c r="BO926" s="203">
        <v>1.5</v>
      </c>
      <c r="BP926" s="202"/>
    </row>
    <row r="927" spans="1:137" s="1" customFormat="1" ht="15" hidden="1" customHeight="1" x14ac:dyDescent="0.25">
      <c r="A927" s="197" t="s">
        <v>66</v>
      </c>
      <c r="B927" s="197"/>
      <c r="C927" s="197"/>
      <c r="D927" s="197"/>
      <c r="E927" s="197"/>
      <c r="F927" s="198"/>
      <c r="G927" s="44">
        <f>G926+1</f>
        <v>2</v>
      </c>
      <c r="H927" s="45">
        <f t="shared" si="0"/>
        <v>0</v>
      </c>
      <c r="J927" s="44">
        <v>1</v>
      </c>
      <c r="K927" s="1">
        <v>2</v>
      </c>
      <c r="L927" s="1">
        <v>2</v>
      </c>
      <c r="U927" s="233">
        <v>0</v>
      </c>
      <c r="V927" s="234"/>
      <c r="W927" s="234">
        <v>-1.5</v>
      </c>
      <c r="X927" s="237"/>
      <c r="Y927" s="233">
        <v>-6.8</v>
      </c>
      <c r="Z927" s="234"/>
      <c r="AA927" s="234">
        <v>-2</v>
      </c>
      <c r="AB927" s="234"/>
      <c r="AC927" s="234"/>
      <c r="AD927" s="234"/>
      <c r="AE927" s="234"/>
      <c r="AF927" s="237"/>
      <c r="AG927" s="203">
        <v>2</v>
      </c>
      <c r="AH927" s="201"/>
      <c r="AI927" s="201"/>
      <c r="AJ927" s="202"/>
      <c r="AK927" s="203">
        <v>2</v>
      </c>
      <c r="AL927" s="201"/>
      <c r="AM927" s="201"/>
      <c r="AN927" s="201"/>
      <c r="AO927" s="201"/>
      <c r="AP927" s="201"/>
      <c r="AQ927" s="201"/>
      <c r="AR927" s="202"/>
      <c r="AS927" s="203">
        <v>1</v>
      </c>
      <c r="AT927" s="201"/>
      <c r="AU927" s="201"/>
      <c r="AV927" s="202"/>
      <c r="AW927" s="203">
        <v>1</v>
      </c>
      <c r="AX927" s="201"/>
      <c r="AY927" s="201"/>
      <c r="AZ927" s="202"/>
      <c r="BA927" s="203">
        <v>5.5</v>
      </c>
      <c r="BB927" s="201"/>
      <c r="BC927" s="201">
        <v>5.5</v>
      </c>
      <c r="BD927" s="201"/>
      <c r="BE927" s="201"/>
      <c r="BF927" s="201"/>
      <c r="BG927" s="203">
        <v>1</v>
      </c>
      <c r="BH927" s="201"/>
      <c r="BI927" s="201"/>
      <c r="BJ927" s="202"/>
      <c r="BK927" s="293">
        <v>9.5</v>
      </c>
      <c r="BL927" s="294"/>
      <c r="BM927" s="294"/>
      <c r="BN927" s="295"/>
      <c r="BO927" s="203">
        <v>1.5</v>
      </c>
      <c r="BP927" s="202"/>
      <c r="BT927" s="17" t="s">
        <v>84</v>
      </c>
      <c r="BU927" s="197">
        <f ca="1">IF($D$16=$B$961,Y924,AA924)</f>
        <v>-7.2</v>
      </c>
      <c r="BV927" s="197"/>
      <c r="BX927" s="18" t="s">
        <v>37</v>
      </c>
      <c r="BY927"/>
      <c r="BZ927"/>
      <c r="CB927" s="37"/>
      <c r="CC927" s="37"/>
      <c r="CD927" t="s">
        <v>85</v>
      </c>
    </row>
    <row r="928" spans="1:137" s="1" customFormat="1" ht="15" hidden="1" customHeight="1" thickBot="1" x14ac:dyDescent="0.3">
      <c r="A928" s="197" t="s">
        <v>156</v>
      </c>
      <c r="B928" s="197"/>
      <c r="C928" s="197"/>
      <c r="D928" s="197"/>
      <c r="E928" s="197"/>
      <c r="F928" s="197"/>
      <c r="G928" s="44">
        <f t="shared" ref="G928:G944" si="1">G927+1</f>
        <v>3</v>
      </c>
      <c r="H928" s="45">
        <f t="shared" si="0"/>
        <v>0</v>
      </c>
      <c r="J928" s="44">
        <v>1</v>
      </c>
      <c r="K928" s="1">
        <v>2</v>
      </c>
      <c r="L928" s="1">
        <v>2</v>
      </c>
      <c r="U928" s="233">
        <v>0</v>
      </c>
      <c r="V928" s="234"/>
      <c r="W928" s="234">
        <v>-1.5</v>
      </c>
      <c r="X928" s="237"/>
      <c r="Y928" s="233">
        <v>-6.8</v>
      </c>
      <c r="Z928" s="234"/>
      <c r="AA928" s="234">
        <v>-2</v>
      </c>
      <c r="AB928" s="234"/>
      <c r="AC928" s="234"/>
      <c r="AD928" s="234"/>
      <c r="AE928" s="234"/>
      <c r="AF928" s="237"/>
      <c r="AG928" s="203">
        <v>2</v>
      </c>
      <c r="AH928" s="201"/>
      <c r="AI928" s="201"/>
      <c r="AJ928" s="202"/>
      <c r="AK928" s="203">
        <v>2</v>
      </c>
      <c r="AL928" s="201"/>
      <c r="AM928" s="201"/>
      <c r="AN928" s="201"/>
      <c r="AO928" s="201"/>
      <c r="AP928" s="201"/>
      <c r="AQ928" s="201"/>
      <c r="AR928" s="202"/>
      <c r="AS928" s="203">
        <v>1</v>
      </c>
      <c r="AT928" s="201"/>
      <c r="AU928" s="201"/>
      <c r="AV928" s="202"/>
      <c r="AW928" s="203">
        <v>1</v>
      </c>
      <c r="AX928" s="201"/>
      <c r="AY928" s="201"/>
      <c r="AZ928" s="202"/>
      <c r="BA928" s="203">
        <v>6.25</v>
      </c>
      <c r="BB928" s="201"/>
      <c r="BC928" s="201">
        <v>6.25</v>
      </c>
      <c r="BD928" s="201"/>
      <c r="BE928" s="201"/>
      <c r="BF928" s="201"/>
      <c r="BG928" s="203">
        <v>1</v>
      </c>
      <c r="BH928" s="201"/>
      <c r="BI928" s="201"/>
      <c r="BJ928" s="202"/>
      <c r="BK928" s="293">
        <v>9.5</v>
      </c>
      <c r="BL928" s="294"/>
      <c r="BM928" s="294"/>
      <c r="BN928" s="295"/>
      <c r="BO928" s="203">
        <v>1.5</v>
      </c>
      <c r="BP928" s="202"/>
      <c r="BT928" s="17" t="s">
        <v>70</v>
      </c>
      <c r="BU928" s="197">
        <f>$D$20/2</f>
        <v>5</v>
      </c>
      <c r="BV928" s="197"/>
      <c r="BX928" s="18" t="s">
        <v>86</v>
      </c>
      <c r="BY928"/>
      <c r="BZ928"/>
      <c r="CB928" s="37"/>
      <c r="CC928" s="37"/>
      <c r="CD928" s="49" t="s">
        <v>87</v>
      </c>
    </row>
    <row r="929" spans="1:137" s="1" customFormat="1" ht="15" hidden="1" customHeight="1" thickTop="1" x14ac:dyDescent="0.25">
      <c r="A929" s="197" t="s">
        <v>3</v>
      </c>
      <c r="B929" s="197"/>
      <c r="C929" s="197"/>
      <c r="D929" s="197"/>
      <c r="E929" s="197"/>
      <c r="F929" s="197"/>
      <c r="G929" s="44">
        <f t="shared" si="1"/>
        <v>4</v>
      </c>
      <c r="H929" s="45">
        <f t="shared" si="0"/>
        <v>0</v>
      </c>
      <c r="J929" s="44">
        <v>1</v>
      </c>
      <c r="L929" s="1">
        <v>1</v>
      </c>
      <c r="M929" s="1">
        <v>1</v>
      </c>
      <c r="N929" s="1">
        <v>1</v>
      </c>
      <c r="O929" s="1">
        <v>1</v>
      </c>
      <c r="P929" s="1">
        <v>1</v>
      </c>
      <c r="R929" s="1">
        <v>1</v>
      </c>
      <c r="S929" s="1">
        <v>1</v>
      </c>
      <c r="U929" s="203">
        <v>0</v>
      </c>
      <c r="V929" s="201"/>
      <c r="W929" s="201"/>
      <c r="X929" s="202"/>
      <c r="Y929" s="196">
        <v>-7.2</v>
      </c>
      <c r="Z929" s="197"/>
      <c r="AA929" s="197">
        <v>-6.7</v>
      </c>
      <c r="AB929" s="197"/>
      <c r="AC929" s="197">
        <v>0.75</v>
      </c>
      <c r="AD929" s="197"/>
      <c r="AE929" s="197">
        <v>1.45</v>
      </c>
      <c r="AF929" s="198"/>
      <c r="AG929" s="216">
        <v>3</v>
      </c>
      <c r="AH929" s="215"/>
      <c r="AI929" s="215">
        <v>2</v>
      </c>
      <c r="AJ929" s="217"/>
      <c r="AK929" s="196">
        <v>3</v>
      </c>
      <c r="AL929" s="197"/>
      <c r="AM929" s="197">
        <v>3</v>
      </c>
      <c r="AN929" s="197"/>
      <c r="AO929" s="197">
        <v>2</v>
      </c>
      <c r="AP929" s="197"/>
      <c r="AQ929" s="197">
        <v>2</v>
      </c>
      <c r="AR929" s="198"/>
      <c r="AS929" s="196">
        <v>0</v>
      </c>
      <c r="AT929" s="197"/>
      <c r="AU929" s="199">
        <v>1</v>
      </c>
      <c r="AV929" s="200"/>
      <c r="AW929" s="196">
        <v>0</v>
      </c>
      <c r="AX929" s="197"/>
      <c r="AY929" s="199">
        <v>1</v>
      </c>
      <c r="AZ929" s="200"/>
      <c r="BA929" s="203">
        <v>12</v>
      </c>
      <c r="BB929" s="201"/>
      <c r="BC929" s="201">
        <v>12</v>
      </c>
      <c r="BD929" s="201"/>
      <c r="BE929" s="201"/>
      <c r="BF929" s="201"/>
      <c r="BG929" s="196">
        <v>2</v>
      </c>
      <c r="BH929" s="197"/>
      <c r="BI929" s="199">
        <v>1</v>
      </c>
      <c r="BJ929" s="200"/>
      <c r="BK929" s="196">
        <v>8</v>
      </c>
      <c r="BL929" s="197"/>
      <c r="BM929" s="197">
        <v>2.9</v>
      </c>
      <c r="BN929" s="198"/>
      <c r="BO929" s="203">
        <v>0</v>
      </c>
      <c r="BP929" s="202"/>
      <c r="BT929" s="17" t="s">
        <v>2</v>
      </c>
      <c r="BU929" s="197">
        <f ca="1">IF(Q924=1,IF($D$16=$B$961,BC924,BE924),BC924)</f>
        <v>4</v>
      </c>
      <c r="BV929" s="197"/>
      <c r="BX929" s="18" t="s">
        <v>88</v>
      </c>
      <c r="BY929"/>
      <c r="BZ929"/>
      <c r="CB929" s="50"/>
      <c r="CC929" s="50"/>
      <c r="CD929" s="49" t="s">
        <v>89</v>
      </c>
    </row>
    <row r="930" spans="1:137" s="1" customFormat="1" hidden="1" x14ac:dyDescent="0.25">
      <c r="A930" s="197" t="s">
        <v>10</v>
      </c>
      <c r="B930" s="197"/>
      <c r="C930" s="197"/>
      <c r="D930" s="197"/>
      <c r="E930" s="197"/>
      <c r="F930" s="197"/>
      <c r="G930" s="44">
        <f t="shared" si="1"/>
        <v>5</v>
      </c>
      <c r="H930" s="45">
        <f t="shared" si="0"/>
        <v>0</v>
      </c>
      <c r="J930" s="44">
        <v>3</v>
      </c>
      <c r="K930" s="1">
        <v>2</v>
      </c>
      <c r="L930" s="1">
        <v>2</v>
      </c>
      <c r="Q930" s="1">
        <v>1</v>
      </c>
      <c r="U930" s="233">
        <v>0</v>
      </c>
      <c r="V930" s="234"/>
      <c r="W930" s="234">
        <v>0.7</v>
      </c>
      <c r="X930" s="237"/>
      <c r="Y930" s="233">
        <v>-7.2</v>
      </c>
      <c r="Z930" s="234"/>
      <c r="AA930" s="234">
        <v>-6.7</v>
      </c>
      <c r="AB930" s="234"/>
      <c r="AC930" s="234"/>
      <c r="AD930" s="234"/>
      <c r="AE930" s="234"/>
      <c r="AF930" s="237"/>
      <c r="AG930" s="203">
        <v>2</v>
      </c>
      <c r="AH930" s="201"/>
      <c r="AI930" s="201"/>
      <c r="AJ930" s="202"/>
      <c r="AK930" s="203">
        <v>2</v>
      </c>
      <c r="AL930" s="201"/>
      <c r="AM930" s="201"/>
      <c r="AN930" s="201"/>
      <c r="AO930" s="201"/>
      <c r="AP930" s="201"/>
      <c r="AQ930" s="201"/>
      <c r="AR930" s="202"/>
      <c r="AS930" s="203">
        <v>1</v>
      </c>
      <c r="AT930" s="201"/>
      <c r="AU930" s="201"/>
      <c r="AV930" s="202"/>
      <c r="AW930" s="203">
        <v>1</v>
      </c>
      <c r="AX930" s="201"/>
      <c r="AY930" s="201"/>
      <c r="AZ930" s="202"/>
      <c r="BA930" s="203">
        <v>4</v>
      </c>
      <c r="BB930" s="201"/>
      <c r="BC930" s="197">
        <v>4</v>
      </c>
      <c r="BD930" s="197"/>
      <c r="BE930" s="197">
        <v>1.5</v>
      </c>
      <c r="BF930" s="197"/>
      <c r="BG930" s="203">
        <v>1</v>
      </c>
      <c r="BH930" s="201"/>
      <c r="BI930" s="201"/>
      <c r="BJ930" s="202"/>
      <c r="BK930" s="293">
        <v>8</v>
      </c>
      <c r="BL930" s="294"/>
      <c r="BM930" s="294"/>
      <c r="BN930" s="295"/>
      <c r="BO930" s="203">
        <v>1.5</v>
      </c>
      <c r="BP930" s="202"/>
      <c r="BT930" s="17" t="s">
        <v>90</v>
      </c>
      <c r="BU930" s="197">
        <f ca="1">IF(K924=1, BU918, IF(K924=2, BU924,U924 ))</f>
        <v>0</v>
      </c>
      <c r="BV930" s="197"/>
      <c r="BX930" s="18" t="s">
        <v>148</v>
      </c>
      <c r="BY930"/>
      <c r="BZ930"/>
      <c r="CB930"/>
      <c r="CC930"/>
      <c r="CD930"/>
    </row>
    <row r="931" spans="1:137" s="1" customFormat="1" hidden="1" x14ac:dyDescent="0.25">
      <c r="A931" s="197" t="s">
        <v>155</v>
      </c>
      <c r="B931" s="197"/>
      <c r="C931" s="197"/>
      <c r="D931" s="197"/>
      <c r="E931" s="197"/>
      <c r="F931" s="197"/>
      <c r="G931" s="44">
        <f t="shared" si="1"/>
        <v>6</v>
      </c>
      <c r="H931" s="45">
        <f t="shared" si="0"/>
        <v>0</v>
      </c>
      <c r="J931" s="44">
        <v>3</v>
      </c>
      <c r="L931" s="1">
        <v>2</v>
      </c>
      <c r="U931" s="203">
        <v>0</v>
      </c>
      <c r="V931" s="201"/>
      <c r="W931" s="201"/>
      <c r="X931" s="202"/>
      <c r="Y931" s="233">
        <v>-7.2</v>
      </c>
      <c r="Z931" s="234"/>
      <c r="AA931" s="234">
        <v>-6.7</v>
      </c>
      <c r="AB931" s="234"/>
      <c r="AC931" s="234"/>
      <c r="AD931" s="234"/>
      <c r="AE931" s="234"/>
      <c r="AF931" s="237"/>
      <c r="AG931" s="203">
        <v>2</v>
      </c>
      <c r="AH931" s="201"/>
      <c r="AI931" s="201"/>
      <c r="AJ931" s="202"/>
      <c r="AK931" s="203">
        <v>2</v>
      </c>
      <c r="AL931" s="201"/>
      <c r="AM931" s="201"/>
      <c r="AN931" s="201"/>
      <c r="AO931" s="201"/>
      <c r="AP931" s="201"/>
      <c r="AQ931" s="201"/>
      <c r="AR931" s="202"/>
      <c r="AS931" s="203">
        <v>1</v>
      </c>
      <c r="AT931" s="201"/>
      <c r="AU931" s="201"/>
      <c r="AV931" s="202"/>
      <c r="AW931" s="203">
        <v>1</v>
      </c>
      <c r="AX931" s="201"/>
      <c r="AY931" s="201"/>
      <c r="AZ931" s="202"/>
      <c r="BA931" s="203">
        <v>5.5</v>
      </c>
      <c r="BB931" s="201"/>
      <c r="BC931" s="201">
        <v>5.5</v>
      </c>
      <c r="BD931" s="201"/>
      <c r="BE931" s="201"/>
      <c r="BF931" s="201"/>
      <c r="BG931" s="203">
        <v>1</v>
      </c>
      <c r="BH931" s="201"/>
      <c r="BI931" s="201"/>
      <c r="BJ931" s="202"/>
      <c r="BK931" s="293">
        <v>8</v>
      </c>
      <c r="BL931" s="294"/>
      <c r="BM931" s="294"/>
      <c r="BN931" s="295"/>
      <c r="BO931" s="203">
        <v>0</v>
      </c>
      <c r="BP931" s="202"/>
      <c r="BT931" s="17" t="s">
        <v>91</v>
      </c>
      <c r="BU931" s="197">
        <f ca="1">IF(L924=1,$BU919,IF(L924=2,BU927,IF(L924=3,BU928,$Y924)))</f>
        <v>-7.2</v>
      </c>
      <c r="BV931" s="197"/>
      <c r="BX931" s="18" t="s">
        <v>149</v>
      </c>
      <c r="BY931"/>
      <c r="BZ931"/>
      <c r="CB931"/>
      <c r="CC931"/>
      <c r="CD931"/>
    </row>
    <row r="932" spans="1:137" s="1" customFormat="1" ht="15" hidden="1" customHeight="1" x14ac:dyDescent="0.25">
      <c r="A932" s="197" t="s">
        <v>197</v>
      </c>
      <c r="B932" s="197"/>
      <c r="C932" s="197"/>
      <c r="D932" s="197"/>
      <c r="E932" s="197"/>
      <c r="F932" s="197"/>
      <c r="G932" s="44">
        <f t="shared" si="1"/>
        <v>7</v>
      </c>
      <c r="H932" s="45">
        <f t="shared" si="0"/>
        <v>0</v>
      </c>
      <c r="J932" s="44">
        <v>2</v>
      </c>
      <c r="T932" s="1">
        <v>1</v>
      </c>
      <c r="U932" s="203">
        <v>0</v>
      </c>
      <c r="V932" s="201"/>
      <c r="W932" s="201"/>
      <c r="X932" s="202"/>
      <c r="Y932" s="203">
        <v>-0.55000000000000004</v>
      </c>
      <c r="Z932" s="201"/>
      <c r="AA932" s="201"/>
      <c r="AB932" s="201"/>
      <c r="AC932" s="201"/>
      <c r="AD932" s="201"/>
      <c r="AE932" s="201"/>
      <c r="AF932" s="202"/>
      <c r="AG932" s="203">
        <v>0</v>
      </c>
      <c r="AH932" s="201"/>
      <c r="AI932" s="201"/>
      <c r="AJ932" s="202"/>
      <c r="AK932" s="203">
        <v>0</v>
      </c>
      <c r="AL932" s="201"/>
      <c r="AM932" s="201"/>
      <c r="AN932" s="201"/>
      <c r="AO932" s="201"/>
      <c r="AP932" s="201"/>
      <c r="AQ932" s="201"/>
      <c r="AR932" s="202"/>
      <c r="AS932" s="203">
        <v>1</v>
      </c>
      <c r="AT932" s="201"/>
      <c r="AU932" s="201"/>
      <c r="AV932" s="202"/>
      <c r="AW932" s="203">
        <v>1</v>
      </c>
      <c r="AX932" s="201"/>
      <c r="AY932" s="201"/>
      <c r="AZ932" s="202"/>
      <c r="BA932" s="203">
        <v>0.2</v>
      </c>
      <c r="BB932" s="201"/>
      <c r="BC932" s="201">
        <v>0.2</v>
      </c>
      <c r="BD932" s="201"/>
      <c r="BE932" s="201"/>
      <c r="BF932" s="201"/>
      <c r="BG932" s="203">
        <v>0</v>
      </c>
      <c r="BH932" s="201"/>
      <c r="BI932" s="201"/>
      <c r="BJ932" s="202"/>
      <c r="BK932" s="293">
        <v>0</v>
      </c>
      <c r="BL932" s="294"/>
      <c r="BM932" s="294"/>
      <c r="BN932" s="295"/>
      <c r="BO932" s="203">
        <v>2.2999999999999998</v>
      </c>
      <c r="BP932" s="202"/>
      <c r="BT932" s="301" t="s">
        <v>13</v>
      </c>
      <c r="BU932" s="304">
        <f ca="1">IF(D16=B961,ROUNDUP((((((D10 - BA924 - BU929) / 2 ) - BU948 ) + BU931 ) / BU917 ), 0 )+1,ROUNDUP( (((D10 - BA924 - BU929 + IF(BU930&gt;0,BU929-BU930,0)) + BU931 ) / BU917 )+ 1, 0 ))</f>
        <v>6</v>
      </c>
      <c r="BV932" s="304"/>
      <c r="BX932" s="331" t="s">
        <v>181</v>
      </c>
      <c r="BY932" s="331"/>
      <c r="BZ932" s="331"/>
      <c r="CA932" s="331"/>
      <c r="CB932" s="331"/>
      <c r="CC932" s="331"/>
      <c r="CD932" t="s">
        <v>186</v>
      </c>
    </row>
    <row r="933" spans="1:137" s="1" customFormat="1" hidden="1" x14ac:dyDescent="0.25">
      <c r="A933" s="197" t="s">
        <v>198</v>
      </c>
      <c r="B933" s="197"/>
      <c r="C933" s="197"/>
      <c r="D933" s="197"/>
      <c r="E933" s="197"/>
      <c r="F933" s="197"/>
      <c r="G933" s="44">
        <f t="shared" si="1"/>
        <v>8</v>
      </c>
      <c r="H933" s="45">
        <f t="shared" si="0"/>
        <v>0</v>
      </c>
      <c r="J933" s="44">
        <v>2</v>
      </c>
      <c r="L933" s="1">
        <v>2</v>
      </c>
      <c r="U933" s="203">
        <v>0</v>
      </c>
      <c r="V933" s="201"/>
      <c r="W933" s="201"/>
      <c r="X933" s="202"/>
      <c r="Y933" s="233">
        <v>-0.55000000000000004</v>
      </c>
      <c r="Z933" s="234"/>
      <c r="AA933" s="234">
        <v>-1.6</v>
      </c>
      <c r="AB933" s="234"/>
      <c r="AC933" s="234"/>
      <c r="AD933" s="234"/>
      <c r="AE933" s="234"/>
      <c r="AF933" s="237"/>
      <c r="AG933" s="203">
        <v>0</v>
      </c>
      <c r="AH933" s="201"/>
      <c r="AI933" s="201"/>
      <c r="AJ933" s="202"/>
      <c r="AK933" s="203">
        <v>0</v>
      </c>
      <c r="AL933" s="201"/>
      <c r="AM933" s="201"/>
      <c r="AN933" s="201"/>
      <c r="AO933" s="201"/>
      <c r="AP933" s="201"/>
      <c r="AQ933" s="201"/>
      <c r="AR933" s="202"/>
      <c r="AS933" s="203">
        <v>1</v>
      </c>
      <c r="AT933" s="201"/>
      <c r="AU933" s="201"/>
      <c r="AV933" s="202"/>
      <c r="AW933" s="203">
        <v>1</v>
      </c>
      <c r="AX933" s="201"/>
      <c r="AY933" s="201"/>
      <c r="AZ933" s="202"/>
      <c r="BA933" s="203">
        <v>0.2</v>
      </c>
      <c r="BB933" s="201"/>
      <c r="BC933" s="201">
        <v>0.2</v>
      </c>
      <c r="BD933" s="201"/>
      <c r="BE933" s="201"/>
      <c r="BF933" s="201"/>
      <c r="BG933" s="203">
        <v>0</v>
      </c>
      <c r="BH933" s="201"/>
      <c r="BI933" s="201"/>
      <c r="BJ933" s="202"/>
      <c r="BK933" s="293">
        <v>0</v>
      </c>
      <c r="BL933" s="294"/>
      <c r="BM933" s="294"/>
      <c r="BN933" s="295"/>
      <c r="BO933" s="203">
        <v>1.4</v>
      </c>
      <c r="BP933" s="202"/>
      <c r="BT933" s="301"/>
      <c r="BU933" s="302"/>
      <c r="BV933" s="302"/>
      <c r="BX933" s="331"/>
      <c r="BY933" s="331"/>
      <c r="BZ933" s="331"/>
      <c r="CA933" s="331"/>
      <c r="CB933" s="331"/>
      <c r="CC933" s="331"/>
      <c r="CD933"/>
    </row>
    <row r="934" spans="1:137" s="1" customFormat="1" ht="15" hidden="1" customHeight="1" x14ac:dyDescent="0.25">
      <c r="A934" s="197" t="s">
        <v>33</v>
      </c>
      <c r="B934" s="197"/>
      <c r="C934" s="197"/>
      <c r="D934" s="197"/>
      <c r="E934" s="197"/>
      <c r="F934" s="197"/>
      <c r="G934" s="44">
        <f t="shared" si="1"/>
        <v>9</v>
      </c>
      <c r="H934" s="45">
        <f t="shared" si="0"/>
        <v>0</v>
      </c>
      <c r="J934" s="44">
        <v>2</v>
      </c>
      <c r="L934" s="1">
        <v>2</v>
      </c>
      <c r="U934" s="203">
        <v>0</v>
      </c>
      <c r="V934" s="201"/>
      <c r="W934" s="201"/>
      <c r="X934" s="202"/>
      <c r="Y934" s="233">
        <v>-0.55000000000000004</v>
      </c>
      <c r="Z934" s="234"/>
      <c r="AA934" s="234">
        <v>-1.6</v>
      </c>
      <c r="AB934" s="234"/>
      <c r="AC934" s="234"/>
      <c r="AD934" s="234"/>
      <c r="AE934" s="234"/>
      <c r="AF934" s="237"/>
      <c r="AG934" s="203">
        <v>0</v>
      </c>
      <c r="AH934" s="201"/>
      <c r="AI934" s="201"/>
      <c r="AJ934" s="202"/>
      <c r="AK934" s="203">
        <v>0</v>
      </c>
      <c r="AL934" s="201"/>
      <c r="AM934" s="201"/>
      <c r="AN934" s="201"/>
      <c r="AO934" s="201"/>
      <c r="AP934" s="201"/>
      <c r="AQ934" s="201"/>
      <c r="AR934" s="202"/>
      <c r="AS934" s="203">
        <v>1</v>
      </c>
      <c r="AT934" s="201"/>
      <c r="AU934" s="201"/>
      <c r="AV934" s="202"/>
      <c r="AW934" s="203">
        <v>1</v>
      </c>
      <c r="AX934" s="201"/>
      <c r="AY934" s="201"/>
      <c r="AZ934" s="202"/>
      <c r="BA934" s="203">
        <v>0.2</v>
      </c>
      <c r="BB934" s="201"/>
      <c r="BC934" s="201">
        <v>0.2</v>
      </c>
      <c r="BD934" s="201"/>
      <c r="BE934" s="201"/>
      <c r="BF934" s="201"/>
      <c r="BG934" s="203">
        <v>0</v>
      </c>
      <c r="BH934" s="201"/>
      <c r="BI934" s="201"/>
      <c r="BJ934" s="202"/>
      <c r="BK934" s="293">
        <v>0</v>
      </c>
      <c r="BL934" s="294"/>
      <c r="BM934" s="294"/>
      <c r="BN934" s="295"/>
      <c r="BO934" s="203">
        <v>1.4</v>
      </c>
      <c r="BP934" s="202"/>
      <c r="BT934" s="301" t="s">
        <v>183</v>
      </c>
      <c r="BU934" s="302">
        <f ca="1">IF(D16=B961,ROUNDUP((((((D10 - BA924 - BU929) / 2 ) + BU948 ) + BU931 ) / BU917 ), 0 )+1,ROUNDUP( (((D10 - BA924 - BU929 + IF(BU930&gt;0,BU929-BU930,0)) + BU931 ) / BU917 )+ 1, 0 ))</f>
        <v>6</v>
      </c>
      <c r="BV934" s="302"/>
      <c r="BX934" s="331" t="s">
        <v>182</v>
      </c>
      <c r="BY934" s="331"/>
      <c r="BZ934" s="331"/>
      <c r="CA934" s="331"/>
      <c r="CB934" s="331"/>
      <c r="CC934" s="331"/>
      <c r="CD934" t="s">
        <v>185</v>
      </c>
    </row>
    <row r="935" spans="1:137" s="1" customFormat="1" ht="15" hidden="1" customHeight="1" x14ac:dyDescent="0.25">
      <c r="A935" s="197" t="s">
        <v>154</v>
      </c>
      <c r="B935" s="197"/>
      <c r="C935" s="197"/>
      <c r="D935" s="197"/>
      <c r="E935" s="197"/>
      <c r="F935" s="198"/>
      <c r="G935" s="44">
        <f t="shared" si="1"/>
        <v>10</v>
      </c>
      <c r="H935" s="45">
        <f t="shared" si="0"/>
        <v>0</v>
      </c>
      <c r="J935" s="44">
        <v>2</v>
      </c>
      <c r="U935" s="203">
        <v>0</v>
      </c>
      <c r="V935" s="201"/>
      <c r="W935" s="201"/>
      <c r="X935" s="202"/>
      <c r="Y935" s="203">
        <v>-0.55000000000000004</v>
      </c>
      <c r="Z935" s="201"/>
      <c r="AA935" s="201"/>
      <c r="AB935" s="201"/>
      <c r="AC935" s="201"/>
      <c r="AD935" s="201"/>
      <c r="AE935" s="201"/>
      <c r="AF935" s="202"/>
      <c r="AG935" s="203">
        <v>0</v>
      </c>
      <c r="AH935" s="201"/>
      <c r="AI935" s="201"/>
      <c r="AJ935" s="202"/>
      <c r="AK935" s="203">
        <v>0</v>
      </c>
      <c r="AL935" s="201"/>
      <c r="AM935" s="201"/>
      <c r="AN935" s="201"/>
      <c r="AO935" s="201"/>
      <c r="AP935" s="201"/>
      <c r="AQ935" s="201"/>
      <c r="AR935" s="202"/>
      <c r="AS935" s="203">
        <v>1</v>
      </c>
      <c r="AT935" s="201"/>
      <c r="AU935" s="201"/>
      <c r="AV935" s="202"/>
      <c r="AW935" s="203">
        <v>1</v>
      </c>
      <c r="AX935" s="201"/>
      <c r="AY935" s="201"/>
      <c r="AZ935" s="202"/>
      <c r="BA935" s="203">
        <v>0</v>
      </c>
      <c r="BB935" s="201"/>
      <c r="BC935" s="201">
        <v>0</v>
      </c>
      <c r="BD935" s="201"/>
      <c r="BE935" s="201"/>
      <c r="BF935" s="202"/>
      <c r="BG935" s="293">
        <v>0</v>
      </c>
      <c r="BH935" s="294"/>
      <c r="BI935" s="294"/>
      <c r="BJ935" s="295"/>
      <c r="BK935" s="293">
        <v>0</v>
      </c>
      <c r="BL935" s="294"/>
      <c r="BM935" s="294"/>
      <c r="BN935" s="295"/>
      <c r="BO935" s="203">
        <v>0</v>
      </c>
      <c r="BP935" s="202"/>
      <c r="BT935" s="301"/>
      <c r="BU935" s="303"/>
      <c r="BV935" s="303"/>
      <c r="BX935" s="331"/>
      <c r="BY935" s="331"/>
      <c r="BZ935" s="331"/>
      <c r="CA935" s="331"/>
      <c r="CB935" s="331"/>
      <c r="CC935" s="331"/>
      <c r="CD935"/>
      <c r="EF935"/>
      <c r="EG935"/>
    </row>
    <row r="936" spans="1:137" s="1" customFormat="1" hidden="1" x14ac:dyDescent="0.25">
      <c r="A936" s="197" t="s">
        <v>67</v>
      </c>
      <c r="B936" s="197"/>
      <c r="C936" s="197"/>
      <c r="D936" s="197"/>
      <c r="E936" s="197"/>
      <c r="F936" s="198"/>
      <c r="G936" s="44">
        <f t="shared" si="1"/>
        <v>11</v>
      </c>
      <c r="H936" s="45">
        <f t="shared" si="0"/>
        <v>0</v>
      </c>
      <c r="J936" s="44">
        <v>2</v>
      </c>
      <c r="T936" s="1">
        <v>1</v>
      </c>
      <c r="U936" s="203">
        <v>0</v>
      </c>
      <c r="V936" s="201"/>
      <c r="W936" s="201"/>
      <c r="X936" s="202"/>
      <c r="Y936" s="203">
        <v>-0.55000000000000004</v>
      </c>
      <c r="Z936" s="201"/>
      <c r="AA936" s="201"/>
      <c r="AB936" s="201"/>
      <c r="AC936" s="201"/>
      <c r="AD936" s="201"/>
      <c r="AE936" s="201"/>
      <c r="AF936" s="202"/>
      <c r="AG936" s="203">
        <v>0</v>
      </c>
      <c r="AH936" s="201"/>
      <c r="AI936" s="201"/>
      <c r="AJ936" s="202"/>
      <c r="AK936" s="203">
        <v>0</v>
      </c>
      <c r="AL936" s="201"/>
      <c r="AM936" s="201"/>
      <c r="AN936" s="201"/>
      <c r="AO936" s="201"/>
      <c r="AP936" s="201"/>
      <c r="AQ936" s="201"/>
      <c r="AR936" s="202"/>
      <c r="AS936" s="203">
        <v>1</v>
      </c>
      <c r="AT936" s="201"/>
      <c r="AU936" s="201"/>
      <c r="AV936" s="202"/>
      <c r="AW936" s="203">
        <v>1</v>
      </c>
      <c r="AX936" s="201"/>
      <c r="AY936" s="201"/>
      <c r="AZ936" s="202"/>
      <c r="BA936" s="203">
        <v>0.2</v>
      </c>
      <c r="BB936" s="201"/>
      <c r="BC936" s="201">
        <v>0.2</v>
      </c>
      <c r="BD936" s="201"/>
      <c r="BE936" s="201"/>
      <c r="BF936" s="202"/>
      <c r="BG936" s="293">
        <v>0</v>
      </c>
      <c r="BH936" s="294"/>
      <c r="BI936" s="294"/>
      <c r="BJ936" s="295"/>
      <c r="BK936" s="293">
        <v>0</v>
      </c>
      <c r="BL936" s="294"/>
      <c r="BM936" s="294"/>
      <c r="BN936" s="295"/>
      <c r="BO936" s="203">
        <v>2.2000000000000002</v>
      </c>
      <c r="BP936" s="202"/>
      <c r="BT936" s="17" t="s">
        <v>92</v>
      </c>
      <c r="BU936" s="197">
        <f ca="1">IF(BU922=1,IF(ISEVEN(BU932),BU932,BU932+1),IF(ISEVEN(BU932),BU932+1,BU932))</f>
        <v>6</v>
      </c>
      <c r="BV936" s="197"/>
      <c r="BX936" s="18" t="s">
        <v>93</v>
      </c>
      <c r="BY936"/>
      <c r="BZ936"/>
      <c r="CB936"/>
      <c r="CC936"/>
      <c r="CD936" t="s">
        <v>94</v>
      </c>
      <c r="EF936"/>
      <c r="EG936"/>
    </row>
    <row r="937" spans="1:137" s="1" customFormat="1" hidden="1" x14ac:dyDescent="0.25">
      <c r="A937" s="197" t="s">
        <v>34</v>
      </c>
      <c r="B937" s="197"/>
      <c r="C937" s="197"/>
      <c r="D937" s="197"/>
      <c r="E937" s="197"/>
      <c r="F937" s="198"/>
      <c r="G937" s="44">
        <f t="shared" si="1"/>
        <v>12</v>
      </c>
      <c r="H937" s="45">
        <f t="shared" si="0"/>
        <v>0</v>
      </c>
      <c r="J937" s="44">
        <v>2</v>
      </c>
      <c r="L937" s="1">
        <v>2</v>
      </c>
      <c r="U937" s="203">
        <v>0</v>
      </c>
      <c r="V937" s="201"/>
      <c r="W937" s="201"/>
      <c r="X937" s="202"/>
      <c r="Y937" s="46">
        <v>-0.55000000000000004</v>
      </c>
      <c r="Z937" s="47"/>
      <c r="AA937" s="47">
        <v>-1.6</v>
      </c>
      <c r="AB937" s="47"/>
      <c r="AC937" s="47"/>
      <c r="AD937" s="47"/>
      <c r="AE937" s="47"/>
      <c r="AF937" s="48"/>
      <c r="AG937" s="203">
        <v>0</v>
      </c>
      <c r="AH937" s="201"/>
      <c r="AI937" s="201"/>
      <c r="AJ937" s="202"/>
      <c r="AK937" s="203">
        <v>0</v>
      </c>
      <c r="AL937" s="201"/>
      <c r="AM937" s="201"/>
      <c r="AN937" s="201"/>
      <c r="AO937" s="201"/>
      <c r="AP937" s="201"/>
      <c r="AQ937" s="201"/>
      <c r="AR937" s="202"/>
      <c r="AS937" s="203">
        <v>1</v>
      </c>
      <c r="AT937" s="201"/>
      <c r="AU937" s="201"/>
      <c r="AV937" s="202"/>
      <c r="AW937" s="203">
        <v>1</v>
      </c>
      <c r="AX937" s="201"/>
      <c r="AY937" s="201"/>
      <c r="AZ937" s="202"/>
      <c r="BA937" s="203">
        <v>0.2</v>
      </c>
      <c r="BB937" s="201"/>
      <c r="BC937" s="201">
        <v>0.2</v>
      </c>
      <c r="BD937" s="201"/>
      <c r="BE937" s="201"/>
      <c r="BF937" s="202"/>
      <c r="BG937" s="293">
        <v>0</v>
      </c>
      <c r="BH937" s="294"/>
      <c r="BI937" s="294"/>
      <c r="BJ937" s="295"/>
      <c r="BK937" s="293">
        <v>0</v>
      </c>
      <c r="BL937" s="294"/>
      <c r="BM937" s="294"/>
      <c r="BN937" s="295"/>
      <c r="BO937" s="203">
        <v>1.4</v>
      </c>
      <c r="BP937" s="202"/>
      <c r="BT937" s="17" t="s">
        <v>95</v>
      </c>
      <c r="BU937" s="197">
        <f ca="1">IF(BU923=1,IF(ISEVEN(BU934),BU934,BU934+1),IF(ISEVEN(BU934),BU934+1,BU934))</f>
        <v>6</v>
      </c>
      <c r="BV937" s="197"/>
      <c r="BX937" s="18" t="s">
        <v>96</v>
      </c>
      <c r="BY937"/>
      <c r="BZ937"/>
      <c r="CB937"/>
      <c r="CC937"/>
      <c r="CD937" t="s">
        <v>184</v>
      </c>
      <c r="EF937"/>
      <c r="EG937"/>
    </row>
    <row r="938" spans="1:137" s="1" customFormat="1" hidden="1" x14ac:dyDescent="0.25">
      <c r="A938" s="197" t="s">
        <v>68</v>
      </c>
      <c r="B938" s="197"/>
      <c r="C938" s="197"/>
      <c r="D938" s="197"/>
      <c r="E938" s="197"/>
      <c r="F938" s="198"/>
      <c r="G938" s="44">
        <f t="shared" si="1"/>
        <v>13</v>
      </c>
      <c r="H938" s="45">
        <f t="shared" si="0"/>
        <v>0</v>
      </c>
      <c r="J938" s="44">
        <v>2</v>
      </c>
      <c r="U938" s="203">
        <v>0</v>
      </c>
      <c r="V938" s="201"/>
      <c r="W938" s="201"/>
      <c r="X938" s="202"/>
      <c r="Y938" s="203">
        <v>-0.55000000000000004</v>
      </c>
      <c r="Z938" s="201"/>
      <c r="AA938" s="201"/>
      <c r="AB938" s="201"/>
      <c r="AC938" s="201"/>
      <c r="AD938" s="201"/>
      <c r="AE938" s="201"/>
      <c r="AF938" s="202"/>
      <c r="AG938" s="203">
        <v>0</v>
      </c>
      <c r="AH938" s="201"/>
      <c r="AI938" s="201"/>
      <c r="AJ938" s="202"/>
      <c r="AK938" s="203">
        <v>0</v>
      </c>
      <c r="AL938" s="201"/>
      <c r="AM938" s="201"/>
      <c r="AN938" s="201"/>
      <c r="AO938" s="201"/>
      <c r="AP938" s="201"/>
      <c r="AQ938" s="201"/>
      <c r="AR938" s="202"/>
      <c r="AS938" s="203">
        <v>1</v>
      </c>
      <c r="AT938" s="201"/>
      <c r="AU938" s="201"/>
      <c r="AV938" s="202"/>
      <c r="AW938" s="203">
        <v>1</v>
      </c>
      <c r="AX938" s="201"/>
      <c r="AY938" s="201"/>
      <c r="AZ938" s="202"/>
      <c r="BA938" s="203">
        <v>0.4</v>
      </c>
      <c r="BB938" s="201"/>
      <c r="BC938" s="201">
        <v>0.4</v>
      </c>
      <c r="BD938" s="201"/>
      <c r="BE938" s="201"/>
      <c r="BF938" s="202"/>
      <c r="BG938" s="293">
        <v>0</v>
      </c>
      <c r="BH938" s="294"/>
      <c r="BI938" s="294"/>
      <c r="BJ938" s="295"/>
      <c r="BK938" s="293">
        <v>0</v>
      </c>
      <c r="BL938" s="294"/>
      <c r="BM938" s="294"/>
      <c r="BN938" s="295"/>
      <c r="BO938" s="203">
        <v>0.9</v>
      </c>
      <c r="BP938" s="202"/>
      <c r="BT938" s="17" t="s">
        <v>97</v>
      </c>
      <c r="BU938" s="291">
        <f ca="1">BU936+BU920</f>
        <v>8</v>
      </c>
      <c r="BV938" s="291"/>
      <c r="BX938" s="18" t="s">
        <v>98</v>
      </c>
      <c r="BY938"/>
      <c r="BZ938"/>
      <c r="CB938"/>
      <c r="CC938"/>
      <c r="CD938" t="s">
        <v>99</v>
      </c>
      <c r="DK938" s="199">
        <f ca="1">(D10-BA924-BU929+IF(BU930&gt;0,BU929-BU930,0))</f>
        <v>89.5</v>
      </c>
      <c r="DL938" s="199"/>
      <c r="DM938" s="199"/>
      <c r="DN938" s="199">
        <f>D10</f>
        <v>100</v>
      </c>
      <c r="DO938" s="199"/>
      <c r="DP938" s="199">
        <f ca="1">BA924</f>
        <v>6.5</v>
      </c>
      <c r="DQ938" s="199"/>
      <c r="DR938" s="199">
        <f ca="1">BU929</f>
        <v>4</v>
      </c>
      <c r="DS938" s="199"/>
      <c r="DT938" s="199">
        <f ca="1">IF(BU930&gt;0,BU929-BU930,0)</f>
        <v>0</v>
      </c>
      <c r="DU938" s="199"/>
      <c r="DV938" s="199"/>
      <c r="DW938" s="199"/>
      <c r="DX938" s="199"/>
      <c r="DY938" s="199"/>
      <c r="EF938"/>
      <c r="EG938"/>
    </row>
    <row r="939" spans="1:137" s="1" customFormat="1" hidden="1" x14ac:dyDescent="0.25">
      <c r="A939" s="197" t="s">
        <v>157</v>
      </c>
      <c r="B939" s="197"/>
      <c r="C939" s="197"/>
      <c r="D939" s="197"/>
      <c r="E939" s="197"/>
      <c r="F939" s="198"/>
      <c r="G939" s="44">
        <f t="shared" si="1"/>
        <v>14</v>
      </c>
      <c r="H939" s="45">
        <f t="shared" si="0"/>
        <v>0</v>
      </c>
      <c r="J939" s="44">
        <v>1</v>
      </c>
      <c r="K939" s="1">
        <v>2</v>
      </c>
      <c r="L939" s="1">
        <v>1</v>
      </c>
      <c r="M939" s="1">
        <v>1</v>
      </c>
      <c r="N939" s="1">
        <v>1</v>
      </c>
      <c r="O939" s="1">
        <v>1</v>
      </c>
      <c r="P939" s="1">
        <v>1</v>
      </c>
      <c r="R939" s="1">
        <v>1</v>
      </c>
      <c r="S939" s="1">
        <v>1</v>
      </c>
      <c r="U939" s="233">
        <v>0</v>
      </c>
      <c r="V939" s="234"/>
      <c r="W939" s="234">
        <v>2.56</v>
      </c>
      <c r="X939" s="237"/>
      <c r="Y939" s="196">
        <v>-7.2</v>
      </c>
      <c r="Z939" s="197"/>
      <c r="AA939" s="197">
        <v>-6.7</v>
      </c>
      <c r="AB939" s="197"/>
      <c r="AC939" s="197">
        <v>0.75</v>
      </c>
      <c r="AD939" s="197"/>
      <c r="AE939" s="197">
        <v>1.45</v>
      </c>
      <c r="AF939" s="198"/>
      <c r="AG939" s="196">
        <v>2</v>
      </c>
      <c r="AH939" s="197"/>
      <c r="AI939" s="197">
        <v>1</v>
      </c>
      <c r="AJ939" s="198"/>
      <c r="AK939" s="196">
        <v>2</v>
      </c>
      <c r="AL939" s="197"/>
      <c r="AM939" s="197">
        <v>0</v>
      </c>
      <c r="AN939" s="197"/>
      <c r="AO939" s="197">
        <v>1</v>
      </c>
      <c r="AP939" s="197"/>
      <c r="AQ939" s="197">
        <v>0</v>
      </c>
      <c r="AR939" s="198"/>
      <c r="AS939" s="196">
        <v>1</v>
      </c>
      <c r="AT939" s="197"/>
      <c r="AU939" s="199">
        <v>0</v>
      </c>
      <c r="AV939" s="200"/>
      <c r="AW939" s="196">
        <v>1</v>
      </c>
      <c r="AX939" s="197"/>
      <c r="AY939" s="199">
        <v>0</v>
      </c>
      <c r="AZ939" s="200"/>
      <c r="BA939" s="203">
        <v>6.5</v>
      </c>
      <c r="BB939" s="201"/>
      <c r="BC939" s="201">
        <v>4</v>
      </c>
      <c r="BD939" s="201"/>
      <c r="BE939" s="201"/>
      <c r="BF939" s="202"/>
      <c r="BG939" s="196">
        <v>2</v>
      </c>
      <c r="BH939" s="197"/>
      <c r="BI939" s="199">
        <v>1</v>
      </c>
      <c r="BJ939" s="200"/>
      <c r="BK939" s="196">
        <v>8</v>
      </c>
      <c r="BL939" s="197"/>
      <c r="BM939" s="197">
        <v>2.9</v>
      </c>
      <c r="BN939" s="198"/>
      <c r="BO939" s="203">
        <v>0</v>
      </c>
      <c r="BP939" s="202"/>
      <c r="BT939" s="17" t="s">
        <v>100</v>
      </c>
      <c r="BU939" s="292">
        <f ca="1">BU937+BU921</f>
        <v>8</v>
      </c>
      <c r="BV939" s="292"/>
      <c r="BX939" s="18" t="s">
        <v>101</v>
      </c>
      <c r="BY939"/>
      <c r="BZ939"/>
      <c r="CB939"/>
      <c r="CC939"/>
      <c r="CD939" t="s">
        <v>102</v>
      </c>
      <c r="DK939" s="199">
        <f ca="1">DK938/2</f>
        <v>44.75</v>
      </c>
      <c r="DL939" s="199"/>
      <c r="DM939" s="199"/>
      <c r="EF939"/>
      <c r="EG939"/>
    </row>
    <row r="940" spans="1:137" s="1" customFormat="1" ht="15" hidden="1" customHeight="1" x14ac:dyDescent="0.25">
      <c r="A940" s="197" t="s">
        <v>158</v>
      </c>
      <c r="B940" s="197"/>
      <c r="C940" s="197"/>
      <c r="D940" s="197"/>
      <c r="E940" s="197"/>
      <c r="F940" s="198"/>
      <c r="G940" s="44">
        <f t="shared" si="1"/>
        <v>15</v>
      </c>
      <c r="H940" s="45">
        <f t="shared" si="0"/>
        <v>0</v>
      </c>
      <c r="J940" s="44">
        <v>3</v>
      </c>
      <c r="L940" s="1">
        <v>2</v>
      </c>
      <c r="U940" s="203">
        <v>0</v>
      </c>
      <c r="V940" s="201"/>
      <c r="W940" s="201"/>
      <c r="X940" s="202"/>
      <c r="Y940" s="46">
        <v>-6.2</v>
      </c>
      <c r="Z940" s="47"/>
      <c r="AA940" s="47">
        <v>-3.6</v>
      </c>
      <c r="AB940" s="47"/>
      <c r="AC940" s="47"/>
      <c r="AD940" s="47"/>
      <c r="AE940" s="47"/>
      <c r="AF940" s="48"/>
      <c r="AG940" s="203">
        <v>1</v>
      </c>
      <c r="AH940" s="201"/>
      <c r="AI940" s="201"/>
      <c r="AJ940" s="202"/>
      <c r="AK940" s="203">
        <v>1</v>
      </c>
      <c r="AL940" s="201"/>
      <c r="AM940" s="201"/>
      <c r="AN940" s="201"/>
      <c r="AO940" s="201"/>
      <c r="AP940" s="201"/>
      <c r="AQ940" s="201"/>
      <c r="AR940" s="202"/>
      <c r="AS940" s="203">
        <v>0</v>
      </c>
      <c r="AT940" s="201"/>
      <c r="AU940" s="201"/>
      <c r="AV940" s="202"/>
      <c r="AW940" s="203">
        <v>0</v>
      </c>
      <c r="AX940" s="201"/>
      <c r="AY940" s="201"/>
      <c r="AZ940" s="202"/>
      <c r="BA940" s="203">
        <v>1.2</v>
      </c>
      <c r="BB940" s="201"/>
      <c r="BC940" s="201">
        <v>1.2</v>
      </c>
      <c r="BD940" s="201"/>
      <c r="BE940" s="201"/>
      <c r="BF940" s="202"/>
      <c r="BG940" s="293">
        <v>1</v>
      </c>
      <c r="BH940" s="294"/>
      <c r="BI940" s="294"/>
      <c r="BJ940" s="295"/>
      <c r="BK940" s="293">
        <v>7.1</v>
      </c>
      <c r="BL940" s="294"/>
      <c r="BM940" s="294"/>
      <c r="BN940" s="295"/>
      <c r="BO940" s="203">
        <v>0</v>
      </c>
      <c r="BP940" s="202"/>
      <c r="BT940" s="17" t="s">
        <v>1</v>
      </c>
      <c r="BU940" s="197">
        <f ca="1">AL27*BU938</f>
        <v>0</v>
      </c>
      <c r="BV940" s="197"/>
      <c r="BX940" t="s">
        <v>103</v>
      </c>
      <c r="BY940"/>
      <c r="BZ940"/>
      <c r="CB940"/>
      <c r="CC940"/>
      <c r="CD940" t="s">
        <v>104</v>
      </c>
      <c r="DK940" s="199">
        <f ca="1">DK939-BU948</f>
        <v>44.75</v>
      </c>
      <c r="DL940" s="199"/>
      <c r="DM940" s="199"/>
      <c r="EF940" s="49"/>
      <c r="EG940" s="49"/>
    </row>
    <row r="941" spans="1:137" s="1" customFormat="1" hidden="1" x14ac:dyDescent="0.25">
      <c r="A941" s="197" t="s">
        <v>69</v>
      </c>
      <c r="B941" s="197"/>
      <c r="C941" s="197"/>
      <c r="D941" s="197"/>
      <c r="E941" s="197"/>
      <c r="F941" s="198"/>
      <c r="G941" s="44">
        <f t="shared" si="1"/>
        <v>16</v>
      </c>
      <c r="H941" s="45">
        <f t="shared" si="0"/>
        <v>0</v>
      </c>
      <c r="J941" s="44">
        <v>2</v>
      </c>
      <c r="U941" s="203">
        <v>0</v>
      </c>
      <c r="V941" s="201"/>
      <c r="W941" s="201"/>
      <c r="X941" s="202"/>
      <c r="Y941" s="203">
        <v>-0.55000000000000004</v>
      </c>
      <c r="Z941" s="201"/>
      <c r="AA941" s="201"/>
      <c r="AB941" s="201"/>
      <c r="AC941" s="201"/>
      <c r="AD941" s="201"/>
      <c r="AE941" s="201"/>
      <c r="AF941" s="202"/>
      <c r="AG941" s="203">
        <v>0</v>
      </c>
      <c r="AH941" s="201"/>
      <c r="AI941" s="201"/>
      <c r="AJ941" s="202"/>
      <c r="AK941" s="203">
        <v>0</v>
      </c>
      <c r="AL941" s="201"/>
      <c r="AM941" s="201"/>
      <c r="AN941" s="201"/>
      <c r="AO941" s="201"/>
      <c r="AP941" s="201"/>
      <c r="AQ941" s="201"/>
      <c r="AR941" s="202"/>
      <c r="AS941" s="203">
        <v>1</v>
      </c>
      <c r="AT941" s="201"/>
      <c r="AU941" s="201"/>
      <c r="AV941" s="202"/>
      <c r="AW941" s="203">
        <v>1</v>
      </c>
      <c r="AX941" s="201"/>
      <c r="AY941" s="201"/>
      <c r="AZ941" s="202"/>
      <c r="BA941" s="203">
        <v>1.2</v>
      </c>
      <c r="BB941" s="201"/>
      <c r="BC941" s="201">
        <v>0.3</v>
      </c>
      <c r="BD941" s="201"/>
      <c r="BE941" s="201"/>
      <c r="BF941" s="202"/>
      <c r="BG941" s="293">
        <v>0</v>
      </c>
      <c r="BH941" s="294"/>
      <c r="BI941" s="294"/>
      <c r="BJ941" s="295"/>
      <c r="BK941" s="293">
        <v>0</v>
      </c>
      <c r="BL941" s="294"/>
      <c r="BM941" s="294"/>
      <c r="BN941" s="295"/>
      <c r="BO941" s="203">
        <v>0</v>
      </c>
      <c r="BP941" s="202"/>
      <c r="BT941" s="17" t="s">
        <v>105</v>
      </c>
      <c r="BU941" s="197">
        <f ca="1">AL27*BU939</f>
        <v>0</v>
      </c>
      <c r="BV941" s="197"/>
      <c r="BX941" t="s">
        <v>106</v>
      </c>
      <c r="BY941"/>
      <c r="BZ941"/>
      <c r="CB941"/>
      <c r="CC941"/>
      <c r="CD941" t="s">
        <v>107</v>
      </c>
      <c r="DK941" s="199">
        <f ca="1">DK940-BU931</f>
        <v>51.95</v>
      </c>
      <c r="DL941" s="199"/>
      <c r="DM941" s="199"/>
      <c r="EF941"/>
      <c r="EG941"/>
    </row>
    <row r="942" spans="1:137" s="1" customFormat="1" hidden="1" x14ac:dyDescent="0.25">
      <c r="A942" s="197" t="s">
        <v>159</v>
      </c>
      <c r="B942" s="197"/>
      <c r="C942" s="197"/>
      <c r="D942" s="197"/>
      <c r="E942" s="197"/>
      <c r="F942" s="198"/>
      <c r="G942" s="44">
        <f t="shared" si="1"/>
        <v>17</v>
      </c>
      <c r="H942" s="45">
        <f t="shared" si="0"/>
        <v>0</v>
      </c>
      <c r="J942" s="44">
        <v>1</v>
      </c>
      <c r="K942" s="1">
        <v>2</v>
      </c>
      <c r="L942" s="1">
        <v>1</v>
      </c>
      <c r="M942" s="1">
        <v>1</v>
      </c>
      <c r="N942" s="1">
        <v>1</v>
      </c>
      <c r="O942" s="1">
        <v>1</v>
      </c>
      <c r="P942" s="1">
        <v>1</v>
      </c>
      <c r="R942" s="1">
        <v>1</v>
      </c>
      <c r="S942" s="1">
        <v>1</v>
      </c>
      <c r="U942" s="233">
        <v>0</v>
      </c>
      <c r="V942" s="234"/>
      <c r="W942" s="234">
        <v>2.56</v>
      </c>
      <c r="X942" s="237"/>
      <c r="Y942" s="196">
        <v>-7.2</v>
      </c>
      <c r="Z942" s="197"/>
      <c r="AA942" s="197">
        <v>-6.7</v>
      </c>
      <c r="AB942" s="197"/>
      <c r="AC942" s="197">
        <v>0.75</v>
      </c>
      <c r="AD942" s="197"/>
      <c r="AE942" s="197">
        <v>1.45</v>
      </c>
      <c r="AF942" s="198"/>
      <c r="AG942" s="196">
        <v>2</v>
      </c>
      <c r="AH942" s="197"/>
      <c r="AI942" s="197">
        <v>1</v>
      </c>
      <c r="AJ942" s="198"/>
      <c r="AK942" s="196">
        <v>2</v>
      </c>
      <c r="AL942" s="197"/>
      <c r="AM942" s="197">
        <v>0</v>
      </c>
      <c r="AN942" s="197"/>
      <c r="AO942" s="197">
        <v>1</v>
      </c>
      <c r="AP942" s="197"/>
      <c r="AQ942" s="197">
        <v>0</v>
      </c>
      <c r="AR942" s="198"/>
      <c r="AS942" s="196">
        <v>1</v>
      </c>
      <c r="AT942" s="197"/>
      <c r="AU942" s="199">
        <v>0</v>
      </c>
      <c r="AV942" s="200"/>
      <c r="AW942" s="196">
        <v>1</v>
      </c>
      <c r="AX942" s="197"/>
      <c r="AY942" s="199">
        <v>0</v>
      </c>
      <c r="AZ942" s="200"/>
      <c r="BA942" s="203">
        <v>6.5</v>
      </c>
      <c r="BB942" s="201"/>
      <c r="BC942" s="201">
        <v>4</v>
      </c>
      <c r="BD942" s="201"/>
      <c r="BE942" s="201"/>
      <c r="BF942" s="202"/>
      <c r="BG942" s="196">
        <v>2</v>
      </c>
      <c r="BH942" s="197"/>
      <c r="BI942" s="199">
        <v>1</v>
      </c>
      <c r="BJ942" s="200"/>
      <c r="BK942" s="196">
        <v>8</v>
      </c>
      <c r="BL942" s="197"/>
      <c r="BM942" s="197">
        <v>2.9</v>
      </c>
      <c r="BN942" s="198"/>
      <c r="BO942" s="203">
        <v>0</v>
      </c>
      <c r="BP942" s="202"/>
      <c r="BT942" s="17" t="s">
        <v>108</v>
      </c>
      <c r="BU942" s="291">
        <f ca="1">IF(D16=B961, BU940 / (D10 / 2 ) * 100, BU940 / D10 * 100 )</f>
        <v>0</v>
      </c>
      <c r="BV942" s="291"/>
      <c r="BX942" t="s">
        <v>109</v>
      </c>
      <c r="BY942"/>
      <c r="BZ942"/>
      <c r="CB942" s="50"/>
      <c r="CC942" s="50"/>
      <c r="CD942" s="49" t="s">
        <v>110</v>
      </c>
      <c r="DK942" s="199">
        <f ca="1">DK941/BU917</f>
        <v>6.5651812500000002</v>
      </c>
      <c r="DL942" s="199"/>
      <c r="DM942" s="199"/>
      <c r="EF942"/>
      <c r="EG942"/>
    </row>
    <row r="943" spans="1:137" s="1" customFormat="1" ht="15" hidden="1" customHeight="1" x14ac:dyDescent="0.25">
      <c r="A943" s="197" t="s">
        <v>31</v>
      </c>
      <c r="B943" s="197"/>
      <c r="C943" s="197"/>
      <c r="D943" s="197"/>
      <c r="E943" s="197"/>
      <c r="F943" s="198"/>
      <c r="G943" s="44">
        <f t="shared" si="1"/>
        <v>18</v>
      </c>
      <c r="H943" s="45">
        <f t="shared" si="0"/>
        <v>0</v>
      </c>
      <c r="J943" s="44">
        <v>1</v>
      </c>
      <c r="L943" s="1">
        <v>3</v>
      </c>
      <c r="T943" s="1">
        <v>1</v>
      </c>
      <c r="U943" s="203">
        <v>0</v>
      </c>
      <c r="V943" s="201"/>
      <c r="W943" s="201"/>
      <c r="X943" s="202"/>
      <c r="Y943" s="51" t="s">
        <v>70</v>
      </c>
      <c r="Z943" s="52"/>
      <c r="AA943" s="52"/>
      <c r="AB943" s="52"/>
      <c r="AC943" s="52"/>
      <c r="AD943" s="52"/>
      <c r="AE943" s="52"/>
      <c r="AF943" s="53"/>
      <c r="AG943" s="203">
        <v>0</v>
      </c>
      <c r="AH943" s="201"/>
      <c r="AI943" s="201"/>
      <c r="AJ943" s="202"/>
      <c r="AK943" s="203">
        <v>0</v>
      </c>
      <c r="AL943" s="201"/>
      <c r="AM943" s="201"/>
      <c r="AN943" s="201"/>
      <c r="AO943" s="201"/>
      <c r="AP943" s="201"/>
      <c r="AQ943" s="201"/>
      <c r="AR943" s="202"/>
      <c r="AS943" s="203">
        <v>1</v>
      </c>
      <c r="AT943" s="201"/>
      <c r="AU943" s="201"/>
      <c r="AV943" s="202"/>
      <c r="AW943" s="203">
        <v>1</v>
      </c>
      <c r="AX943" s="201"/>
      <c r="AY943" s="201"/>
      <c r="AZ943" s="202"/>
      <c r="BA943" s="203">
        <v>8.5</v>
      </c>
      <c r="BB943" s="201"/>
      <c r="BC943" s="201">
        <v>4</v>
      </c>
      <c r="BD943" s="201"/>
      <c r="BE943" s="201"/>
      <c r="BF943" s="202"/>
      <c r="BG943" s="293">
        <v>1</v>
      </c>
      <c r="BH943" s="294"/>
      <c r="BI943" s="294"/>
      <c r="BJ943" s="295"/>
      <c r="BK943" s="293">
        <v>0</v>
      </c>
      <c r="BL943" s="294"/>
      <c r="BM943" s="294"/>
      <c r="BN943" s="295"/>
      <c r="BO943" s="203">
        <v>0</v>
      </c>
      <c r="BP943" s="202"/>
      <c r="BT943" s="17" t="s">
        <v>111</v>
      </c>
      <c r="BU943" s="292">
        <f ca="1">BU941 / (D10/2) * 100</f>
        <v>0</v>
      </c>
      <c r="BV943" s="292"/>
      <c r="BX943" t="s">
        <v>112</v>
      </c>
      <c r="BY943"/>
      <c r="BZ943"/>
      <c r="CB943"/>
      <c r="CC943"/>
      <c r="CD943" t="s">
        <v>113</v>
      </c>
      <c r="DK943" s="199">
        <f ca="1">DK942+1</f>
        <v>7.5651812500000002</v>
      </c>
      <c r="DL943" s="199"/>
      <c r="DM943" s="199"/>
      <c r="EF943"/>
      <c r="EG943"/>
    </row>
    <row r="944" spans="1:137" s="1" customFormat="1" hidden="1" x14ac:dyDescent="0.25">
      <c r="A944" s="197" t="s">
        <v>147</v>
      </c>
      <c r="B944" s="197"/>
      <c r="C944" s="197"/>
      <c r="D944" s="197"/>
      <c r="E944" s="197"/>
      <c r="F944" s="198"/>
      <c r="G944" s="44">
        <f t="shared" si="1"/>
        <v>19</v>
      </c>
      <c r="H944" s="45">
        <f t="shared" si="0"/>
        <v>0</v>
      </c>
      <c r="J944" s="44">
        <v>1</v>
      </c>
      <c r="L944" s="1">
        <v>1</v>
      </c>
      <c r="M944" s="1">
        <v>1</v>
      </c>
      <c r="N944" s="1">
        <v>1</v>
      </c>
      <c r="O944" s="1">
        <v>1</v>
      </c>
      <c r="P944" s="1">
        <v>1</v>
      </c>
      <c r="R944" s="1">
        <v>1</v>
      </c>
      <c r="S944" s="1">
        <v>1</v>
      </c>
      <c r="U944" s="203">
        <v>0</v>
      </c>
      <c r="V944" s="201"/>
      <c r="W944" s="201"/>
      <c r="X944" s="202"/>
      <c r="Y944" s="196">
        <v>-7.2</v>
      </c>
      <c r="Z944" s="197"/>
      <c r="AA944" s="197">
        <v>-6.7</v>
      </c>
      <c r="AB944" s="197"/>
      <c r="AC944" s="197">
        <v>0.75</v>
      </c>
      <c r="AD944" s="197"/>
      <c r="AE944" s="197">
        <v>1.45</v>
      </c>
      <c r="AF944" s="198"/>
      <c r="AG944" s="196">
        <v>2</v>
      </c>
      <c r="AH944" s="197"/>
      <c r="AI944" s="197">
        <v>1</v>
      </c>
      <c r="AJ944" s="198"/>
      <c r="AK944" s="196">
        <v>2</v>
      </c>
      <c r="AL944" s="197"/>
      <c r="AM944" s="197">
        <v>0</v>
      </c>
      <c r="AN944" s="197"/>
      <c r="AO944" s="197">
        <v>1</v>
      </c>
      <c r="AP944" s="197"/>
      <c r="AQ944" s="197">
        <v>0</v>
      </c>
      <c r="AR944" s="198"/>
      <c r="AS944" s="196">
        <v>1</v>
      </c>
      <c r="AT944" s="197"/>
      <c r="AU944" s="199">
        <v>0</v>
      </c>
      <c r="AV944" s="200"/>
      <c r="AW944" s="196">
        <v>1</v>
      </c>
      <c r="AX944" s="197"/>
      <c r="AY944" s="199">
        <v>0</v>
      </c>
      <c r="AZ944" s="200"/>
      <c r="BA944" s="203">
        <v>0</v>
      </c>
      <c r="BB944" s="201"/>
      <c r="BC944" s="201">
        <v>1</v>
      </c>
      <c r="BD944" s="201"/>
      <c r="BE944" s="201"/>
      <c r="BF944" s="202"/>
      <c r="BG944" s="196">
        <v>2</v>
      </c>
      <c r="BH944" s="197"/>
      <c r="BI944" s="199">
        <v>1</v>
      </c>
      <c r="BJ944" s="200"/>
      <c r="BK944" s="196">
        <v>8</v>
      </c>
      <c r="BL944" s="197"/>
      <c r="BM944" s="197">
        <v>2.9</v>
      </c>
      <c r="BN944" s="198"/>
      <c r="BO944" s="203">
        <v>0</v>
      </c>
      <c r="BP944" s="202"/>
      <c r="BT944" s="17" t="s">
        <v>32</v>
      </c>
      <c r="BU944" s="197">
        <f>H948</f>
        <v>1.05</v>
      </c>
      <c r="BV944" s="197"/>
      <c r="BX944" t="s">
        <v>28</v>
      </c>
      <c r="BY944"/>
      <c r="BZ944"/>
      <c r="CB944"/>
      <c r="CC944"/>
      <c r="CD944" t="s">
        <v>114</v>
      </c>
      <c r="DK944" s="199">
        <f ca="1">ROUNDUP(DK943,0)</f>
        <v>8</v>
      </c>
      <c r="DL944" s="199"/>
      <c r="DM944" s="199"/>
      <c r="EF944"/>
      <c r="EG944"/>
    </row>
    <row r="945" spans="1:137" s="1" customFormat="1" hidden="1" x14ac:dyDescent="0.25">
      <c r="A945" s="197" t="s">
        <v>153</v>
      </c>
      <c r="B945" s="197"/>
      <c r="C945" s="197"/>
      <c r="D945" s="197"/>
      <c r="E945" s="197"/>
      <c r="F945" s="197"/>
      <c r="G945" s="44">
        <f t="shared" ref="G945" si="2">G944+1</f>
        <v>20</v>
      </c>
      <c r="H945" s="45">
        <f t="shared" si="0"/>
        <v>0</v>
      </c>
      <c r="I945"/>
      <c r="J945" s="44">
        <v>2</v>
      </c>
      <c r="Q945" s="1">
        <v>1</v>
      </c>
      <c r="T945" s="1">
        <v>1</v>
      </c>
      <c r="U945" s="203">
        <v>0</v>
      </c>
      <c r="V945" s="201"/>
      <c r="W945" s="201"/>
      <c r="X945" s="202"/>
      <c r="Y945" s="203">
        <v>1.5</v>
      </c>
      <c r="Z945" s="201"/>
      <c r="AA945" s="201"/>
      <c r="AB945" s="201"/>
      <c r="AC945" s="201"/>
      <c r="AD945" s="201"/>
      <c r="AE945" s="201"/>
      <c r="AF945" s="202"/>
      <c r="AG945" s="203">
        <v>0</v>
      </c>
      <c r="AH945" s="201"/>
      <c r="AI945" s="201"/>
      <c r="AJ945" s="202"/>
      <c r="AK945" s="203">
        <v>0</v>
      </c>
      <c r="AL945" s="201"/>
      <c r="AM945" s="201"/>
      <c r="AN945" s="201"/>
      <c r="AO945" s="201"/>
      <c r="AP945" s="201"/>
      <c r="AQ945" s="201"/>
      <c r="AR945" s="202"/>
      <c r="AS945" s="203">
        <v>1</v>
      </c>
      <c r="AT945" s="201"/>
      <c r="AU945" s="201"/>
      <c r="AV945" s="202"/>
      <c r="AW945" s="203">
        <v>1</v>
      </c>
      <c r="AX945" s="201"/>
      <c r="AY945" s="201"/>
      <c r="AZ945" s="202"/>
      <c r="BA945" s="203">
        <v>3</v>
      </c>
      <c r="BB945" s="201"/>
      <c r="BC945" s="197">
        <v>3</v>
      </c>
      <c r="BD945" s="197"/>
      <c r="BE945" s="197">
        <v>0.5</v>
      </c>
      <c r="BF945" s="197"/>
      <c r="BG945" s="293">
        <v>0</v>
      </c>
      <c r="BH945" s="294"/>
      <c r="BI945" s="294"/>
      <c r="BJ945" s="295"/>
      <c r="BK945" s="293">
        <v>0</v>
      </c>
      <c r="BL945" s="294"/>
      <c r="BM945" s="294"/>
      <c r="BN945" s="295"/>
      <c r="BO945" s="203">
        <v>2.2000000000000002</v>
      </c>
      <c r="BP945" s="202"/>
      <c r="BT945" s="17" t="s">
        <v>115</v>
      </c>
      <c r="BU945" s="197">
        <f ca="1">IF(R924=1,IF(D16=B961,BG924,BI924),BG924)</f>
        <v>2</v>
      </c>
      <c r="BV945" s="197"/>
      <c r="BX945" t="s">
        <v>116</v>
      </c>
      <c r="BY945"/>
      <c r="BZ945"/>
      <c r="CB945" s="37"/>
      <c r="CC945" s="37"/>
      <c r="CD945" t="s">
        <v>117</v>
      </c>
      <c r="DK945" s="6"/>
      <c r="DL945" s="6"/>
      <c r="DM945" s="6"/>
      <c r="EF945"/>
      <c r="EG945"/>
    </row>
    <row r="946" spans="1:137" s="1" customFormat="1" ht="15.75" hidden="1" thickBot="1" x14ac:dyDescent="0.3">
      <c r="A946" s="5"/>
      <c r="B946" s="5"/>
      <c r="BT946" s="17" t="s">
        <v>118</v>
      </c>
      <c r="BU946" s="197">
        <f ca="1">IF(S924=1,IF(D16=B961,BK924,BM924),BK924)</f>
        <v>8</v>
      </c>
      <c r="BV946" s="197"/>
      <c r="BX946" t="s">
        <v>12</v>
      </c>
      <c r="BY946"/>
      <c r="BZ946"/>
      <c r="CB946"/>
      <c r="CC946"/>
      <c r="CD946" t="s">
        <v>119</v>
      </c>
      <c r="EF946"/>
      <c r="EG946"/>
    </row>
    <row r="947" spans="1:137" s="1" customFormat="1" ht="15.75" hidden="1" thickBot="1" x14ac:dyDescent="0.3">
      <c r="A947" s="5"/>
      <c r="B947" s="5"/>
      <c r="C947" s="5"/>
      <c r="D947" s="5"/>
      <c r="E947" s="250" t="s">
        <v>28</v>
      </c>
      <c r="F947" s="251"/>
      <c r="G947" s="251"/>
      <c r="H947" s="251"/>
      <c r="I947" s="252"/>
      <c r="U947" s="284" t="s">
        <v>90</v>
      </c>
      <c r="V947" s="284"/>
      <c r="W947" s="284"/>
      <c r="X947" s="284"/>
      <c r="Y947" s="285" t="s">
        <v>91</v>
      </c>
      <c r="Z947" s="285"/>
      <c r="AA947" s="285"/>
      <c r="AB947" s="285"/>
      <c r="AC947" s="285"/>
      <c r="AD947" s="285"/>
      <c r="AE947" s="285"/>
      <c r="AF947" s="285"/>
      <c r="AG947" s="54" t="s">
        <v>160</v>
      </c>
      <c r="AH947" s="54"/>
      <c r="AI947" s="12"/>
      <c r="AJ947" s="12"/>
      <c r="AK947" s="54" t="s">
        <v>160</v>
      </c>
      <c r="AL947" s="54"/>
      <c r="AM947" s="54"/>
      <c r="AN947" s="54"/>
      <c r="AO947" s="12"/>
      <c r="AP947" s="12"/>
      <c r="AQ947" s="12"/>
      <c r="AR947" s="12"/>
      <c r="AS947" s="54" t="s">
        <v>160</v>
      </c>
      <c r="AT947" s="54"/>
      <c r="AU947" s="12"/>
      <c r="AV947" s="12"/>
      <c r="AW947" s="54" t="s">
        <v>160</v>
      </c>
      <c r="AX947" s="54"/>
      <c r="AY947" s="12"/>
      <c r="AZ947" s="12"/>
      <c r="BA947" s="54" t="s">
        <v>160</v>
      </c>
      <c r="BB947" s="54"/>
      <c r="BC947" s="54"/>
      <c r="BD947" s="12"/>
      <c r="BE947" s="12"/>
      <c r="BF947" s="12"/>
      <c r="BG947" s="54" t="s">
        <v>160</v>
      </c>
      <c r="BH947" s="54"/>
      <c r="BI947" s="12"/>
      <c r="BJ947" s="12"/>
      <c r="BK947" s="54" t="s">
        <v>160</v>
      </c>
      <c r="BL947" s="54"/>
      <c r="BM947" s="12"/>
      <c r="BN947" s="12"/>
      <c r="BO947" s="54"/>
      <c r="BP947" s="12"/>
      <c r="BT947" s="17" t="s">
        <v>120</v>
      </c>
      <c r="BU947" s="197">
        <f ca="1">ROUNDUP( ((BU936 - BU945 ) * BU944 ) + (BA924 + BO924 ) + BU946,0)</f>
        <v>21</v>
      </c>
      <c r="BV947" s="197"/>
      <c r="BX947" t="s">
        <v>121</v>
      </c>
      <c r="BY947"/>
      <c r="BZ947"/>
      <c r="CB947"/>
      <c r="CC947"/>
      <c r="CD947" t="s">
        <v>150</v>
      </c>
    </row>
    <row r="948" spans="1:137" s="1" customFormat="1" ht="15.75" hidden="1" customHeight="1" thickBot="1" x14ac:dyDescent="0.3">
      <c r="A948" s="286" t="s">
        <v>29</v>
      </c>
      <c r="B948" s="287"/>
      <c r="C948" s="288"/>
      <c r="E948" s="11"/>
      <c r="F948" s="12"/>
      <c r="G948" s="13"/>
      <c r="H948" s="225">
        <f>IF($D$12=B964,H949,IF($D$12=B965,H950,IF($D$12=B966,IF(T924=1,H951,H949),H949)))</f>
        <v>1.05</v>
      </c>
      <c r="I948" s="226"/>
      <c r="U948" s="196" t="s">
        <v>210</v>
      </c>
      <c r="V948" s="197"/>
      <c r="W948" s="197"/>
      <c r="X948" s="198"/>
      <c r="Y948" s="196" t="s">
        <v>207</v>
      </c>
      <c r="Z948" s="197"/>
      <c r="AA948" s="197"/>
      <c r="AB948" s="197"/>
      <c r="AC948" s="197"/>
      <c r="AD948" s="197"/>
      <c r="AE948" s="197"/>
      <c r="AF948" s="198"/>
      <c r="AG948" s="196" t="s">
        <v>205</v>
      </c>
      <c r="AH948" s="197"/>
      <c r="AI948" s="197"/>
      <c r="AJ948" s="198"/>
      <c r="AK948" s="196" t="s">
        <v>206</v>
      </c>
      <c r="AL948" s="197"/>
      <c r="AM948" s="197"/>
      <c r="AN948" s="197"/>
      <c r="AO948" s="197"/>
      <c r="AP948" s="197"/>
      <c r="AQ948" s="197"/>
      <c r="AR948" s="198"/>
      <c r="AS948" s="196" t="s">
        <v>204</v>
      </c>
      <c r="AT948" s="197"/>
      <c r="AU948" s="197"/>
      <c r="AV948" s="198"/>
      <c r="AW948" s="196" t="s">
        <v>203</v>
      </c>
      <c r="AX948" s="197"/>
      <c r="AY948" s="197"/>
      <c r="AZ948" s="198"/>
      <c r="BA948" s="196" t="s">
        <v>202</v>
      </c>
      <c r="BB948" s="197"/>
      <c r="BC948" s="197"/>
      <c r="BD948" s="197"/>
      <c r="BE948" s="197"/>
      <c r="BF948" s="198"/>
      <c r="BG948" s="196" t="s">
        <v>201</v>
      </c>
      <c r="BH948" s="197"/>
      <c r="BI948" s="197"/>
      <c r="BJ948" s="198"/>
      <c r="BK948" s="196" t="s">
        <v>200</v>
      </c>
      <c r="BL948" s="197"/>
      <c r="BM948" s="197"/>
      <c r="BN948" s="198"/>
      <c r="BO948" s="329" t="s">
        <v>161</v>
      </c>
      <c r="BP948" s="329"/>
      <c r="BT948" s="17" t="s">
        <v>177</v>
      </c>
      <c r="BU948" s="199">
        <f ca="1">IF(J977&gt;0,0,(D10/2)-AN21)</f>
        <v>0</v>
      </c>
      <c r="BV948" s="199"/>
      <c r="BX948" s="1" t="s">
        <v>178</v>
      </c>
    </row>
    <row r="949" spans="1:137" s="1" customFormat="1" ht="15.75" hidden="1" thickBot="1" x14ac:dyDescent="0.3">
      <c r="A949" s="55"/>
      <c r="B949" s="280">
        <f>IF($D$14=B957,B950,IF($D$14=B958,B951,B952))</f>
        <v>7.9129574678536105</v>
      </c>
      <c r="C949" s="281"/>
      <c r="E949" s="248" t="s">
        <v>193</v>
      </c>
      <c r="F949" s="249"/>
      <c r="G949" s="249"/>
      <c r="H949" s="227">
        <v>1.05</v>
      </c>
      <c r="I949" s="228"/>
      <c r="U949" s="233" t="s">
        <v>211</v>
      </c>
      <c r="V949" s="234"/>
      <c r="W949" s="234"/>
      <c r="X949" s="237"/>
      <c r="Y949" s="233" t="s">
        <v>208</v>
      </c>
      <c r="Z949" s="234"/>
      <c r="AA949" s="234"/>
      <c r="AB949" s="234"/>
      <c r="AC949" s="234"/>
      <c r="AD949" s="234"/>
      <c r="AE949" s="234"/>
      <c r="AF949" s="237"/>
      <c r="AG949" s="203" t="s">
        <v>161</v>
      </c>
      <c r="AH949" s="201"/>
      <c r="AI949" s="201"/>
      <c r="AJ949" s="202"/>
      <c r="AK949" s="203" t="s">
        <v>161</v>
      </c>
      <c r="AL949" s="201"/>
      <c r="AM949" s="201"/>
      <c r="AN949" s="201"/>
      <c r="AO949" s="201"/>
      <c r="AP949" s="201"/>
      <c r="AQ949" s="201"/>
      <c r="AR949" s="202"/>
      <c r="AS949" s="203" t="s">
        <v>161</v>
      </c>
      <c r="AT949" s="201"/>
      <c r="AU949" s="201"/>
      <c r="AV949" s="202"/>
      <c r="AW949" s="203" t="s">
        <v>161</v>
      </c>
      <c r="AX949" s="201"/>
      <c r="AY949" s="201"/>
      <c r="AZ949" s="202"/>
      <c r="BA949" s="203" t="s">
        <v>161</v>
      </c>
      <c r="BB949" s="201"/>
      <c r="BC949" s="201"/>
      <c r="BD949" s="201"/>
      <c r="BE949" s="201"/>
      <c r="BF949" s="202"/>
      <c r="BG949" s="203" t="s">
        <v>161</v>
      </c>
      <c r="BH949" s="201"/>
      <c r="BI949" s="201"/>
      <c r="BJ949" s="202"/>
      <c r="BK949" s="203" t="s">
        <v>161</v>
      </c>
      <c r="BL949" s="201"/>
      <c r="BM949" s="201"/>
      <c r="BN949" s="202"/>
      <c r="BO949" s="329"/>
      <c r="BP949" s="329"/>
    </row>
    <row r="950" spans="1:137" s="1" customFormat="1" hidden="1" x14ac:dyDescent="0.25">
      <c r="A950" s="56">
        <v>1</v>
      </c>
      <c r="B950" s="282">
        <f>270/49.5</f>
        <v>5.4545454545454541</v>
      </c>
      <c r="C950" s="283"/>
      <c r="E950" s="248" t="s">
        <v>194</v>
      </c>
      <c r="F950" s="249"/>
      <c r="G950" s="249"/>
      <c r="H950" s="229">
        <v>1.38</v>
      </c>
      <c r="I950" s="230"/>
      <c r="U950" s="203" t="s">
        <v>161</v>
      </c>
      <c r="V950" s="201"/>
      <c r="W950" s="201"/>
      <c r="X950" s="202"/>
      <c r="Y950" s="264" t="s">
        <v>209</v>
      </c>
      <c r="Z950" s="265"/>
      <c r="AA950" s="265"/>
      <c r="AB950" s="265"/>
      <c r="AC950" s="265"/>
      <c r="AD950" s="265"/>
      <c r="AE950" s="265"/>
      <c r="AF950" s="266"/>
      <c r="AG950" s="16"/>
      <c r="AH950" s="57"/>
      <c r="AI950"/>
      <c r="AJ950"/>
      <c r="AK950"/>
      <c r="AL950"/>
      <c r="AM950"/>
      <c r="AN950"/>
      <c r="AO950"/>
      <c r="AP950"/>
      <c r="AQ950" s="16"/>
      <c r="AR950"/>
      <c r="AT950"/>
      <c r="AU950"/>
      <c r="AV950"/>
      <c r="AW950"/>
      <c r="AX950"/>
      <c r="BY950" s="58"/>
    </row>
    <row r="951" spans="1:137" s="1" customFormat="1" hidden="1" x14ac:dyDescent="0.25">
      <c r="A951" s="56">
        <v>0.8</v>
      </c>
      <c r="B951" s="253">
        <f>300/50.6</f>
        <v>5.928853754940711</v>
      </c>
      <c r="C951" s="254"/>
      <c r="E951" s="248" t="s">
        <v>192</v>
      </c>
      <c r="F951" s="249"/>
      <c r="G951" s="249"/>
      <c r="H951" s="229">
        <v>1.25</v>
      </c>
      <c r="I951" s="230"/>
      <c r="U951"/>
      <c r="V951"/>
      <c r="Y951" s="203" t="s">
        <v>161</v>
      </c>
      <c r="Z951" s="201"/>
      <c r="AA951" s="201"/>
      <c r="AB951" s="201"/>
      <c r="AC951" s="201"/>
      <c r="AD951" s="201"/>
      <c r="AE951" s="201"/>
      <c r="AF951" s="202"/>
      <c r="AG951" s="16"/>
      <c r="AH951" s="16"/>
      <c r="AI951" s="16"/>
      <c r="AJ951" s="16"/>
      <c r="AK951" s="16"/>
      <c r="AL951" s="16"/>
      <c r="AM951" s="16"/>
      <c r="AN951" s="16"/>
      <c r="AP951" s="16"/>
      <c r="AR951" s="16"/>
      <c r="AS951" t="s">
        <v>212</v>
      </c>
      <c r="AT951" s="16"/>
      <c r="AU951" s="16"/>
      <c r="AV951" s="16"/>
      <c r="AW951" t="s">
        <v>212</v>
      </c>
      <c r="AX951"/>
    </row>
    <row r="952" spans="1:137" s="1" customFormat="1" ht="15.75" hidden="1" thickBot="1" x14ac:dyDescent="0.3">
      <c r="A952" s="59">
        <v>0.6</v>
      </c>
      <c r="B952" s="255">
        <f>400/50.55</f>
        <v>7.9129574678536105</v>
      </c>
      <c r="C952" s="256"/>
      <c r="D952" s="11"/>
      <c r="E952" s="11"/>
      <c r="F952" s="12"/>
      <c r="G952" s="12"/>
      <c r="H952" s="246"/>
      <c r="I952" s="247"/>
      <c r="AS952" s="1" t="s">
        <v>213</v>
      </c>
      <c r="AW952" s="1" t="s">
        <v>213</v>
      </c>
      <c r="CB952" s="5"/>
    </row>
    <row r="953" spans="1:137" s="1" customFormat="1" hidden="1" x14ac:dyDescent="0.25"/>
    <row r="954" spans="1:137" s="1" customFormat="1" ht="15" hidden="1" customHeight="1" x14ac:dyDescent="0.25">
      <c r="A954" s="5"/>
      <c r="B954" s="5"/>
      <c r="C954" s="5"/>
      <c r="D954" s="5"/>
      <c r="V954" s="60"/>
      <c r="CD954" s="60"/>
    </row>
    <row r="955" spans="1:137" s="1" customFormat="1" ht="15" hidden="1" customHeight="1" x14ac:dyDescent="0.25">
      <c r="A955" s="5"/>
      <c r="B955" s="5"/>
      <c r="C955" s="5"/>
      <c r="D955" s="5"/>
      <c r="V955" s="60"/>
      <c r="Z955" s="197" t="s">
        <v>217</v>
      </c>
      <c r="AA955" s="197"/>
      <c r="AB955" s="197" t="s">
        <v>218</v>
      </c>
      <c r="AC955" s="197"/>
      <c r="AP955" s="60"/>
      <c r="BJ955" s="60"/>
      <c r="CD955" s="60"/>
      <c r="CX955" s="60"/>
    </row>
    <row r="956" spans="1:137" s="1" customFormat="1" ht="15" hidden="1" customHeight="1" thickBot="1" x14ac:dyDescent="0.3">
      <c r="A956" s="262" t="s">
        <v>142</v>
      </c>
      <c r="B956" s="262"/>
      <c r="C956" s="262"/>
      <c r="D956" s="262"/>
      <c r="E956" s="5"/>
      <c r="F956" s="262" t="s">
        <v>144</v>
      </c>
      <c r="G956" s="262"/>
      <c r="H956" s="262"/>
      <c r="I956" s="262"/>
      <c r="J956" s="5"/>
      <c r="K956" s="5"/>
      <c r="V956" s="60"/>
      <c r="W956"/>
      <c r="X956"/>
      <c r="Y956"/>
      <c r="Z956" s="197">
        <f>D10</f>
        <v>100</v>
      </c>
      <c r="AA956" s="197"/>
      <c r="AB956" s="197">
        <f>D10</f>
        <v>100</v>
      </c>
      <c r="AC956" s="197"/>
      <c r="AD956" s="197" t="s">
        <v>219</v>
      </c>
      <c r="AE956" s="197"/>
      <c r="AF956" s="197"/>
      <c r="AG956" s="197"/>
      <c r="AH956" s="197"/>
      <c r="AI956" s="197"/>
      <c r="AJ956" s="197"/>
      <c r="AK956"/>
      <c r="AL956"/>
      <c r="AM956"/>
      <c r="AN956"/>
      <c r="AP956" s="60"/>
      <c r="AX956"/>
      <c r="BJ956" s="60"/>
      <c r="BR956"/>
      <c r="CD956" s="60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X956" s="60"/>
      <c r="DF956"/>
    </row>
    <row r="957" spans="1:137" s="1" customFormat="1" ht="15" hidden="1" customHeight="1" x14ac:dyDescent="0.25">
      <c r="A957" s="61">
        <v>8</v>
      </c>
      <c r="B957" s="62" t="s">
        <v>5</v>
      </c>
      <c r="C957" s="62"/>
      <c r="D957" s="63"/>
      <c r="F957" s="260">
        <v>1</v>
      </c>
      <c r="G957" s="310" t="s">
        <v>20</v>
      </c>
      <c r="H957" s="310"/>
      <c r="I957" s="311"/>
      <c r="K957" s="3"/>
      <c r="L957" s="305" t="s">
        <v>17</v>
      </c>
      <c r="M957" s="305"/>
      <c r="N957" s="305"/>
      <c r="O957" s="305"/>
      <c r="P957" s="305"/>
      <c r="Q957" s="4"/>
      <c r="R957" s="306" t="s">
        <v>18</v>
      </c>
      <c r="S957" s="228"/>
      <c r="V957" s="60"/>
      <c r="W957"/>
      <c r="X957"/>
      <c r="Y957"/>
      <c r="Z957" s="197">
        <f ca="1">Z956-BA924-BU929</f>
        <v>89.5</v>
      </c>
      <c r="AA957" s="197"/>
      <c r="AB957" s="197">
        <f ca="1">AB956-BA924-BU929</f>
        <v>89.5</v>
      </c>
      <c r="AC957" s="197"/>
      <c r="AD957" s="197" t="s">
        <v>220</v>
      </c>
      <c r="AE957" s="197"/>
      <c r="AF957" s="197"/>
      <c r="AG957" s="197"/>
      <c r="AH957" s="197"/>
      <c r="AI957" s="197"/>
      <c r="AJ957" s="197"/>
      <c r="AK957"/>
      <c r="AL957"/>
      <c r="AM957"/>
      <c r="AN957"/>
      <c r="AV957"/>
      <c r="AW957"/>
      <c r="AY957"/>
      <c r="AZ957"/>
      <c r="BA957"/>
      <c r="BB957"/>
      <c r="BC957"/>
      <c r="BD957"/>
      <c r="BE957"/>
      <c r="BF957"/>
      <c r="BG957"/>
      <c r="BH957"/>
      <c r="BJ957" s="60"/>
      <c r="BK957"/>
      <c r="BL957"/>
      <c r="BM957"/>
      <c r="BN957"/>
      <c r="BO957"/>
      <c r="BP957"/>
      <c r="BQ957"/>
      <c r="BS957"/>
      <c r="BT957"/>
      <c r="BU957"/>
      <c r="BV957"/>
      <c r="BW957"/>
      <c r="BX957"/>
      <c r="BY957"/>
      <c r="BZ957"/>
      <c r="CA957"/>
      <c r="CB957"/>
      <c r="CD957" s="60"/>
      <c r="CE957"/>
      <c r="CF957"/>
      <c r="CG957"/>
      <c r="CH957"/>
      <c r="CI957"/>
      <c r="CJ957"/>
      <c r="CK957"/>
      <c r="CL957"/>
      <c r="CN957"/>
      <c r="CO957"/>
      <c r="CP957"/>
      <c r="CQ957"/>
      <c r="CR957"/>
      <c r="CS957"/>
      <c r="CT957"/>
      <c r="CU957"/>
      <c r="CV957"/>
      <c r="CX957" s="60"/>
      <c r="CY957"/>
      <c r="CZ957"/>
      <c r="DA957"/>
      <c r="DB957"/>
      <c r="DC957"/>
      <c r="DD957"/>
      <c r="DE957"/>
      <c r="DG957"/>
      <c r="DH957"/>
      <c r="DI957"/>
      <c r="DJ957"/>
      <c r="DK957"/>
      <c r="DL957"/>
      <c r="DM957"/>
      <c r="DN957"/>
      <c r="DO957"/>
      <c r="DP957"/>
    </row>
    <row r="958" spans="1:137" s="1" customFormat="1" ht="15" hidden="1" customHeight="1" thickBot="1" x14ac:dyDescent="0.3">
      <c r="A958" s="64">
        <v>9</v>
      </c>
      <c r="B958" t="s">
        <v>6</v>
      </c>
      <c r="C958"/>
      <c r="D958" s="65"/>
      <c r="F958" s="261"/>
      <c r="G958" s="197" t="s">
        <v>21</v>
      </c>
      <c r="H958" s="197"/>
      <c r="I958" s="263"/>
      <c r="K958" s="11"/>
      <c r="L958" s="12">
        <v>5.4</v>
      </c>
      <c r="M958" s="12">
        <v>6</v>
      </c>
      <c r="N958" s="12">
        <v>8</v>
      </c>
      <c r="O958" s="12"/>
      <c r="P958" s="12"/>
      <c r="Q958" s="13"/>
      <c r="R958" s="11">
        <v>1.1000000000000001</v>
      </c>
      <c r="S958" s="13"/>
      <c r="V958" s="66"/>
      <c r="W958"/>
      <c r="X958"/>
      <c r="Y958"/>
      <c r="Z958" s="197">
        <f ca="1">IF(D16=B961,Z957/2,Z957)</f>
        <v>44.75</v>
      </c>
      <c r="AA958" s="197"/>
      <c r="AB958" s="197">
        <f ca="1">IF(D16=B961,AB957/2,AB957)</f>
        <v>44.75</v>
      </c>
      <c r="AC958" s="197"/>
      <c r="AD958" s="313" t="s">
        <v>221</v>
      </c>
      <c r="AE958" s="197"/>
      <c r="AF958" s="197"/>
      <c r="AG958" s="197"/>
      <c r="AH958" s="197"/>
      <c r="AI958" s="197"/>
      <c r="AJ958" s="197"/>
      <c r="AK958"/>
      <c r="AL958"/>
      <c r="AM958"/>
      <c r="AV958"/>
      <c r="AW958"/>
      <c r="AX958"/>
      <c r="AY958"/>
      <c r="AZ958"/>
      <c r="BA958"/>
      <c r="BB958"/>
      <c r="BC958"/>
      <c r="BD958"/>
      <c r="BE958"/>
      <c r="BF958"/>
      <c r="BG958"/>
      <c r="BI958"/>
      <c r="BJ958" s="66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C958"/>
      <c r="CD958" s="66"/>
      <c r="CE958"/>
      <c r="CF958"/>
      <c r="CG958"/>
      <c r="CH958"/>
      <c r="CI958"/>
      <c r="CK958"/>
      <c r="CM958"/>
      <c r="CN958"/>
      <c r="CP958"/>
      <c r="CQ958"/>
      <c r="CR958"/>
      <c r="CT958"/>
      <c r="CU958"/>
      <c r="CW958"/>
      <c r="CX958" s="66"/>
      <c r="CY958"/>
      <c r="CZ958"/>
      <c r="DA958"/>
      <c r="DB958"/>
      <c r="DC958"/>
      <c r="DD958"/>
      <c r="DE958"/>
      <c r="DF958"/>
      <c r="DG958"/>
      <c r="DH958"/>
      <c r="DI958"/>
      <c r="DK958"/>
      <c r="DL958"/>
      <c r="DM958"/>
      <c r="DN958"/>
      <c r="DO958"/>
      <c r="DQ958"/>
    </row>
    <row r="959" spans="1:137" s="1" customFormat="1" ht="15" hidden="1" customHeight="1" thickBot="1" x14ac:dyDescent="0.3">
      <c r="A959" s="64">
        <v>10</v>
      </c>
      <c r="B959" s="54" t="s">
        <v>7</v>
      </c>
      <c r="C959" s="54"/>
      <c r="D959" s="67"/>
      <c r="F959" s="261">
        <v>2</v>
      </c>
      <c r="G959" s="197" t="s">
        <v>22</v>
      </c>
      <c r="H959" s="197"/>
      <c r="I959" s="263"/>
      <c r="K959" s="68">
        <v>8</v>
      </c>
      <c r="L959" s="1">
        <v>4.9000000000000004</v>
      </c>
      <c r="M959" s="1">
        <v>4.5</v>
      </c>
      <c r="N959" s="5">
        <v>0</v>
      </c>
      <c r="O959" s="44">
        <f t="shared" ref="O959:O974" si="3">IF( $D$14 = $B$957, IF( $AL$27 = K959, L959, 0 ), 0 )</f>
        <v>0</v>
      </c>
      <c r="P959" s="1">
        <f t="shared" ref="P959:P974" si="4">IF( $D$14 = $B$958, IF( $AL$27 = K959, M959, 0 ), 0 )</f>
        <v>0</v>
      </c>
      <c r="Q959" s="1">
        <f t="shared" ref="Q959:Q974" si="5">IF( $D$14 = $B$959, IF( $AL$27 = K959, N959, 0 ), 0 )</f>
        <v>0</v>
      </c>
      <c r="R959" s="8">
        <v>7.9</v>
      </c>
      <c r="S959" s="69">
        <f t="shared" ref="S959:S974" si="6">IF($AL$27=K959,R959,0)</f>
        <v>0</v>
      </c>
      <c r="V959" s="66"/>
      <c r="W959"/>
      <c r="X959"/>
      <c r="Y959"/>
      <c r="Z959" s="197">
        <f ca="1">Z958+BU931</f>
        <v>37.549999999999997</v>
      </c>
      <c r="AA959" s="197"/>
      <c r="AB959" s="197">
        <f ca="1">AB958+BU931</f>
        <v>37.549999999999997</v>
      </c>
      <c r="AC959" s="197"/>
      <c r="AD959" s="197" t="s">
        <v>37</v>
      </c>
      <c r="AE959" s="197"/>
      <c r="AF959" s="197"/>
      <c r="AG959" s="197"/>
      <c r="AH959" s="197"/>
      <c r="AI959" s="197"/>
      <c r="AJ959" s="197"/>
      <c r="AK959"/>
      <c r="AL959"/>
      <c r="AM959"/>
      <c r="BB959"/>
      <c r="BC959"/>
      <c r="BD959"/>
      <c r="BE959"/>
      <c r="BF959"/>
      <c r="BG959"/>
      <c r="BI959"/>
      <c r="BJ959" s="66"/>
      <c r="CD959" s="66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W959"/>
      <c r="CX959" s="66"/>
      <c r="EC959" s="2"/>
    </row>
    <row r="960" spans="1:137" s="1" customFormat="1" ht="15" hidden="1" customHeight="1" x14ac:dyDescent="0.25">
      <c r="A960" s="64">
        <v>11</v>
      </c>
      <c r="B960" s="62" t="s">
        <v>8</v>
      </c>
      <c r="C960" s="62"/>
      <c r="D960" s="63"/>
      <c r="F960" s="261"/>
      <c r="G960" s="197" t="s">
        <v>23</v>
      </c>
      <c r="H960" s="197"/>
      <c r="I960" s="263"/>
      <c r="K960" s="68">
        <v>9</v>
      </c>
      <c r="L960" s="1">
        <v>6.25</v>
      </c>
      <c r="M960" s="1">
        <v>5.56</v>
      </c>
      <c r="N960" s="1">
        <v>3.53</v>
      </c>
      <c r="O960" s="44">
        <f t="shared" si="3"/>
        <v>0</v>
      </c>
      <c r="P960" s="1">
        <f t="shared" si="4"/>
        <v>0</v>
      </c>
      <c r="Q960" s="1">
        <f t="shared" si="5"/>
        <v>0</v>
      </c>
      <c r="R960" s="8">
        <v>8.91</v>
      </c>
      <c r="S960" s="69">
        <f t="shared" si="6"/>
        <v>0</v>
      </c>
      <c r="V960" s="66"/>
      <c r="Z960" s="197">
        <f ca="1">Z959/BU917</f>
        <v>4.7453812499999994</v>
      </c>
      <c r="AA960" s="197"/>
      <c r="AB960" s="197">
        <f ca="1">AB959/BU917</f>
        <v>4.7453812499999994</v>
      </c>
      <c r="AC960" s="197"/>
      <c r="AD960" s="313" t="s">
        <v>222</v>
      </c>
      <c r="AE960" s="197"/>
      <c r="AF960" s="197"/>
      <c r="AG960" s="197"/>
      <c r="AH960" s="197"/>
      <c r="AI960" s="197"/>
      <c r="AJ960" s="197"/>
      <c r="BJ960" s="66"/>
      <c r="BK960"/>
      <c r="CD960" s="66"/>
      <c r="CX960" s="66"/>
      <c r="CY960"/>
      <c r="EC960" s="70"/>
    </row>
    <row r="961" spans="1:133" s="1" customFormat="1" ht="15" hidden="1" customHeight="1" thickBot="1" x14ac:dyDescent="0.3">
      <c r="A961" s="64">
        <v>12</v>
      </c>
      <c r="B961" s="54" t="s">
        <v>9</v>
      </c>
      <c r="C961" s="54"/>
      <c r="D961" s="67"/>
      <c r="F961" s="261">
        <v>3</v>
      </c>
      <c r="G961" s="197" t="s">
        <v>25</v>
      </c>
      <c r="H961" s="197"/>
      <c r="I961" s="263"/>
      <c r="K961" s="68">
        <v>10</v>
      </c>
      <c r="L961" s="1">
        <v>7.68</v>
      </c>
      <c r="M961" s="1">
        <v>6.94</v>
      </c>
      <c r="N961" s="1">
        <v>5.0999999999999996</v>
      </c>
      <c r="O961" s="44">
        <f t="shared" si="3"/>
        <v>0</v>
      </c>
      <c r="P961" s="1">
        <f t="shared" si="4"/>
        <v>0</v>
      </c>
      <c r="Q961" s="1">
        <f t="shared" si="5"/>
        <v>0</v>
      </c>
      <c r="R961" s="8">
        <v>9.92</v>
      </c>
      <c r="S961" s="69">
        <f t="shared" si="6"/>
        <v>0</v>
      </c>
      <c r="V961" s="66"/>
      <c r="W961"/>
      <c r="X961"/>
      <c r="Y961"/>
      <c r="Z961" s="197">
        <f ca="1">Z960+1</f>
        <v>5.7453812499999994</v>
      </c>
      <c r="AA961" s="197"/>
      <c r="AB961" s="197">
        <f ca="1">AB960+1</f>
        <v>5.7453812499999994</v>
      </c>
      <c r="AC961" s="197"/>
      <c r="AD961" s="313" t="s">
        <v>223</v>
      </c>
      <c r="AE961" s="197"/>
      <c r="AF961" s="197"/>
      <c r="AG961" s="197"/>
      <c r="AH961" s="197"/>
      <c r="AI961" s="197"/>
      <c r="AJ961" s="197"/>
      <c r="AK961"/>
      <c r="AL961"/>
      <c r="AM961"/>
      <c r="BB961"/>
      <c r="BC961"/>
      <c r="BD961"/>
      <c r="BE961"/>
      <c r="BF961"/>
      <c r="BG961"/>
      <c r="BJ961" s="66"/>
      <c r="BK961"/>
      <c r="BL961"/>
      <c r="BM961" s="66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D961" s="66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W961"/>
      <c r="CX961" s="66"/>
      <c r="CY961"/>
      <c r="CZ961"/>
      <c r="DA961" s="66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R961" s="2"/>
      <c r="DS961" s="2"/>
      <c r="DT961" s="2"/>
      <c r="DU961" s="2"/>
      <c r="DV961" s="2"/>
      <c r="DW961" s="2"/>
      <c r="DX961" s="2"/>
      <c r="DY961" s="2"/>
      <c r="DZ961" s="2"/>
      <c r="EA961" s="2"/>
      <c r="EB961" s="2"/>
    </row>
    <row r="962" spans="1:133" s="1" customFormat="1" ht="15" hidden="1" customHeight="1" thickBot="1" x14ac:dyDescent="0.3">
      <c r="A962" s="64">
        <v>13</v>
      </c>
      <c r="B962" s="62" t="s">
        <v>26</v>
      </c>
      <c r="C962" s="62"/>
      <c r="D962" s="63"/>
      <c r="F962" s="327"/>
      <c r="G962" s="285" t="s">
        <v>21</v>
      </c>
      <c r="H962" s="285"/>
      <c r="I962" s="328"/>
      <c r="K962" s="68">
        <v>11</v>
      </c>
      <c r="L962" s="1">
        <v>8.9700000000000006</v>
      </c>
      <c r="M962" s="1">
        <v>8.3800000000000008</v>
      </c>
      <c r="N962" s="1">
        <v>6.3239999999999998</v>
      </c>
      <c r="O962" s="44">
        <f t="shared" si="3"/>
        <v>0</v>
      </c>
      <c r="P962" s="1">
        <f t="shared" si="4"/>
        <v>0</v>
      </c>
      <c r="Q962" s="1">
        <f t="shared" si="5"/>
        <v>0</v>
      </c>
      <c r="R962" s="8">
        <v>10.93</v>
      </c>
      <c r="S962" s="69">
        <f t="shared" si="6"/>
        <v>0</v>
      </c>
      <c r="V962" s="66"/>
      <c r="W962"/>
      <c r="X962"/>
      <c r="Y962"/>
      <c r="Z962" s="197">
        <f ca="1">ROUNDUP(Z961,0)</f>
        <v>6</v>
      </c>
      <c r="AA962" s="197"/>
      <c r="AB962" s="197">
        <f ca="1">ROUNDUP(AB961,0)</f>
        <v>6</v>
      </c>
      <c r="AC962" s="197"/>
      <c r="AD962" s="197" t="s">
        <v>224</v>
      </c>
      <c r="AE962" s="197"/>
      <c r="AF962" s="197"/>
      <c r="AG962" s="197"/>
      <c r="AH962" s="197"/>
      <c r="AI962" s="197"/>
      <c r="AJ962" s="197"/>
      <c r="AK962"/>
      <c r="AL962"/>
      <c r="AM962"/>
      <c r="BB962"/>
      <c r="BC962"/>
      <c r="BD962"/>
      <c r="BE962"/>
      <c r="BF962"/>
      <c r="BG962"/>
      <c r="BI962"/>
      <c r="BJ962" s="66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C962"/>
      <c r="CD962" s="66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W962"/>
      <c r="CX962" s="66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Q962"/>
      <c r="EC962" s="2"/>
    </row>
    <row r="963" spans="1:133" s="1" customFormat="1" ht="15" hidden="1" customHeight="1" thickBot="1" x14ac:dyDescent="0.3">
      <c r="A963" s="64">
        <v>14</v>
      </c>
      <c r="B963" t="s">
        <v>27</v>
      </c>
      <c r="C963"/>
      <c r="D963" s="65"/>
      <c r="K963" s="68">
        <v>12</v>
      </c>
      <c r="L963" s="1">
        <v>10.199999999999999</v>
      </c>
      <c r="M963" s="1">
        <v>9.69</v>
      </c>
      <c r="N963" s="1">
        <v>7.4</v>
      </c>
      <c r="O963" s="44">
        <f t="shared" si="3"/>
        <v>0</v>
      </c>
      <c r="P963" s="1">
        <f t="shared" si="4"/>
        <v>0</v>
      </c>
      <c r="Q963" s="1">
        <f t="shared" si="5"/>
        <v>0</v>
      </c>
      <c r="R963" s="8">
        <v>11.93</v>
      </c>
      <c r="S963" s="69">
        <f t="shared" si="6"/>
        <v>0</v>
      </c>
      <c r="U963" s="5"/>
      <c r="V963" s="66"/>
      <c r="W963"/>
      <c r="X963"/>
      <c r="Y963"/>
      <c r="Z963" s="197">
        <f ca="1">IF(BU922=1,EVEN(Z962),ODD(Z962))</f>
        <v>6</v>
      </c>
      <c r="AA963" s="197"/>
      <c r="AB963" s="197">
        <f ca="1">IF(BU923=1,EVEN(AB962),ODD(AB962))</f>
        <v>6</v>
      </c>
      <c r="AC963" s="197"/>
      <c r="AD963" s="197" t="str">
        <f ca="1">IF(BU922=1,"EVEN","ONEVEN")</f>
        <v>EVEN</v>
      </c>
      <c r="AE963" s="197"/>
      <c r="AF963" s="197"/>
      <c r="AG963" s="197"/>
      <c r="AH963" s="197"/>
      <c r="AI963" s="197"/>
      <c r="AJ963" s="197"/>
      <c r="AK963"/>
      <c r="AL963"/>
      <c r="AM963"/>
      <c r="BJ963" s="66"/>
      <c r="CD963" s="66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W963"/>
      <c r="CX963" s="66"/>
    </row>
    <row r="964" spans="1:133" s="1" customFormat="1" ht="15" hidden="1" customHeight="1" x14ac:dyDescent="0.25">
      <c r="A964" s="71">
        <v>15</v>
      </c>
      <c r="B964" s="72" t="s">
        <v>0</v>
      </c>
      <c r="C964" s="62"/>
      <c r="D964" s="63"/>
      <c r="K964" s="68">
        <v>13</v>
      </c>
      <c r="L964">
        <v>11.36</v>
      </c>
      <c r="M964">
        <v>10.9</v>
      </c>
      <c r="N964">
        <v>8.73</v>
      </c>
      <c r="O964" s="44">
        <f t="shared" si="3"/>
        <v>0</v>
      </c>
      <c r="P964" s="1">
        <f t="shared" si="4"/>
        <v>0</v>
      </c>
      <c r="Q964" s="1">
        <f t="shared" si="5"/>
        <v>0</v>
      </c>
      <c r="R964" s="73">
        <v>12.94</v>
      </c>
      <c r="S964" s="69">
        <f t="shared" si="6"/>
        <v>0</v>
      </c>
      <c r="U964" s="5"/>
      <c r="V964" s="66"/>
      <c r="BB964"/>
      <c r="BC964"/>
      <c r="BD964"/>
      <c r="BE964"/>
      <c r="BF964"/>
      <c r="BG964"/>
      <c r="BI964"/>
      <c r="BJ964" s="66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C964"/>
      <c r="CD964" s="66"/>
      <c r="CX964" s="66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Q964"/>
    </row>
    <row r="965" spans="1:133" s="1" customFormat="1" ht="15" hidden="1" customHeight="1" x14ac:dyDescent="0.25">
      <c r="A965" s="71">
        <v>16</v>
      </c>
      <c r="B965" s="73" t="s">
        <v>4</v>
      </c>
      <c r="D965" s="7"/>
      <c r="K965" s="68">
        <v>14</v>
      </c>
      <c r="L965">
        <v>12.5</v>
      </c>
      <c r="M965">
        <v>12.1</v>
      </c>
      <c r="N965">
        <v>10.24</v>
      </c>
      <c r="O965" s="44">
        <f t="shared" si="3"/>
        <v>0</v>
      </c>
      <c r="P965" s="1">
        <f t="shared" si="4"/>
        <v>0</v>
      </c>
      <c r="Q965" s="1">
        <f t="shared" si="5"/>
        <v>0</v>
      </c>
      <c r="R965" s="73">
        <v>13.94</v>
      </c>
      <c r="S965" s="69">
        <f t="shared" si="6"/>
        <v>0</v>
      </c>
      <c r="U965" s="5"/>
      <c r="V965" s="66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O965"/>
      <c r="AP965" s="66"/>
      <c r="AQ965"/>
      <c r="AR965"/>
      <c r="AS965"/>
      <c r="AT965"/>
      <c r="BB965"/>
      <c r="BC965"/>
      <c r="BD965"/>
      <c r="BE965"/>
      <c r="BF965"/>
      <c r="BG965"/>
      <c r="BI965"/>
      <c r="BJ965" s="66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C965"/>
      <c r="CD965" s="66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W965"/>
      <c r="CX965" s="66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Q965"/>
    </row>
    <row r="966" spans="1:133" s="1" customFormat="1" ht="15" hidden="1" customHeight="1" thickBot="1" x14ac:dyDescent="0.3">
      <c r="A966" s="71">
        <v>17</v>
      </c>
      <c r="B966" s="11" t="s">
        <v>195</v>
      </c>
      <c r="C966" s="54"/>
      <c r="D966" s="67"/>
      <c r="K966" s="68">
        <v>15</v>
      </c>
      <c r="L966">
        <v>13.6</v>
      </c>
      <c r="M966">
        <v>13.26</v>
      </c>
      <c r="N966">
        <v>11.62</v>
      </c>
      <c r="O966" s="44">
        <f t="shared" si="3"/>
        <v>0</v>
      </c>
      <c r="P966" s="1">
        <f t="shared" si="4"/>
        <v>0</v>
      </c>
      <c r="Q966" s="1">
        <f t="shared" si="5"/>
        <v>0</v>
      </c>
      <c r="R966" s="73">
        <v>14.95</v>
      </c>
      <c r="S966" s="69">
        <f t="shared" si="6"/>
        <v>0</v>
      </c>
      <c r="U966" s="5"/>
      <c r="V966" s="66"/>
      <c r="AP966" s="66"/>
      <c r="AQ966"/>
      <c r="AR966"/>
      <c r="AS966"/>
      <c r="AT966"/>
      <c r="BB966"/>
      <c r="BC966"/>
      <c r="BD966"/>
      <c r="BE966"/>
      <c r="BF966"/>
      <c r="BG966"/>
      <c r="BI966"/>
      <c r="BJ966" s="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C966"/>
      <c r="CD966" s="66"/>
      <c r="CX966" s="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Q966"/>
    </row>
    <row r="967" spans="1:133" s="1" customFormat="1" ht="15" hidden="1" customHeight="1" thickBot="1" x14ac:dyDescent="0.3">
      <c r="A967" s="64">
        <v>18</v>
      </c>
      <c r="K967" s="68">
        <v>16</v>
      </c>
      <c r="L967">
        <v>14.7</v>
      </c>
      <c r="M967">
        <v>14.39</v>
      </c>
      <c r="N967">
        <v>12.9</v>
      </c>
      <c r="O967" s="44">
        <f t="shared" si="3"/>
        <v>0</v>
      </c>
      <c r="P967" s="1">
        <f t="shared" si="4"/>
        <v>0</v>
      </c>
      <c r="Q967" s="1">
        <f t="shared" si="5"/>
        <v>0</v>
      </c>
      <c r="R967" s="73">
        <v>15.95</v>
      </c>
      <c r="S967" s="69">
        <f t="shared" si="6"/>
        <v>0</v>
      </c>
      <c r="U967" s="5"/>
      <c r="V967" s="66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O967"/>
      <c r="AP967" s="66"/>
      <c r="BJ967" s="66"/>
      <c r="CD967" s="66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W967"/>
      <c r="CX967" s="66"/>
    </row>
    <row r="968" spans="1:133" s="1" customFormat="1" hidden="1" x14ac:dyDescent="0.25">
      <c r="A968" s="64">
        <v>19</v>
      </c>
      <c r="B968" s="62" t="s">
        <v>145</v>
      </c>
      <c r="C968" s="62"/>
      <c r="D968" s="63"/>
      <c r="K968" s="68">
        <v>17</v>
      </c>
      <c r="L968">
        <v>15.8</v>
      </c>
      <c r="M968">
        <v>15.5</v>
      </c>
      <c r="N968">
        <v>14.16</v>
      </c>
      <c r="O968" s="44">
        <f t="shared" si="3"/>
        <v>0</v>
      </c>
      <c r="P968" s="1">
        <f t="shared" si="4"/>
        <v>0</v>
      </c>
      <c r="Q968" s="1">
        <f t="shared" si="5"/>
        <v>0</v>
      </c>
      <c r="R968" s="73">
        <v>16.95</v>
      </c>
      <c r="S968" s="69">
        <f t="shared" si="6"/>
        <v>0</v>
      </c>
      <c r="U968" s="5"/>
      <c r="V968" s="66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O968"/>
      <c r="AP968" s="66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I968"/>
      <c r="BJ968" s="66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C968"/>
      <c r="CD968" s="66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W968"/>
      <c r="CX968" s="66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Q968"/>
    </row>
    <row r="969" spans="1:133" s="1" customFormat="1" ht="15.75" hidden="1" thickBot="1" x14ac:dyDescent="0.3">
      <c r="A969" s="64">
        <v>20</v>
      </c>
      <c r="B969" s="54" t="s">
        <v>146</v>
      </c>
      <c r="C969" s="54"/>
      <c r="D969" s="67"/>
      <c r="K969" s="68">
        <v>18</v>
      </c>
      <c r="L969">
        <v>16.87</v>
      </c>
      <c r="M969">
        <v>16.600000000000001</v>
      </c>
      <c r="N969">
        <v>15.4</v>
      </c>
      <c r="O969" s="44">
        <f t="shared" si="3"/>
        <v>0</v>
      </c>
      <c r="P969" s="1">
        <f t="shared" si="4"/>
        <v>0</v>
      </c>
      <c r="Q969" s="1">
        <f t="shared" si="5"/>
        <v>0</v>
      </c>
      <c r="R969" s="73">
        <v>17.95</v>
      </c>
      <c r="S969" s="69">
        <f t="shared" si="6"/>
        <v>0</v>
      </c>
      <c r="V969" s="66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O969"/>
      <c r="AP969" s="66"/>
      <c r="BJ969" s="66"/>
      <c r="CD969" s="66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W969"/>
      <c r="CX969" s="66"/>
    </row>
    <row r="970" spans="1:133" s="1" customFormat="1" hidden="1" x14ac:dyDescent="0.25">
      <c r="A970" s="64">
        <v>21</v>
      </c>
      <c r="B970" s="5"/>
      <c r="K970" s="68">
        <v>19</v>
      </c>
      <c r="L970">
        <v>17.899999999999999</v>
      </c>
      <c r="M970">
        <v>17.68</v>
      </c>
      <c r="N970">
        <v>16.5</v>
      </c>
      <c r="O970" s="44">
        <f t="shared" si="3"/>
        <v>0</v>
      </c>
      <c r="P970" s="1">
        <f t="shared" si="4"/>
        <v>0</v>
      </c>
      <c r="Q970" s="1">
        <f t="shared" si="5"/>
        <v>0</v>
      </c>
      <c r="R970" s="73">
        <v>18.96</v>
      </c>
      <c r="S970" s="69">
        <f t="shared" si="6"/>
        <v>0</v>
      </c>
      <c r="V970" s="66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O970"/>
      <c r="AP970" s="66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I970"/>
      <c r="BJ970" s="66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C970"/>
      <c r="CD970" s="66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W970"/>
      <c r="CX970" s="66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Q970"/>
    </row>
    <row r="971" spans="1:133" s="1" customFormat="1" hidden="1" x14ac:dyDescent="0.25">
      <c r="A971" s="64">
        <v>22</v>
      </c>
      <c r="B971" s="5"/>
      <c r="K971" s="68">
        <v>20</v>
      </c>
      <c r="L971">
        <v>18.989999999999998</v>
      </c>
      <c r="M971">
        <v>18.75</v>
      </c>
      <c r="N971">
        <v>17.68</v>
      </c>
      <c r="O971" s="44">
        <f t="shared" si="3"/>
        <v>0</v>
      </c>
      <c r="P971" s="1">
        <f t="shared" si="4"/>
        <v>0</v>
      </c>
      <c r="Q971" s="1">
        <f t="shared" si="5"/>
        <v>0</v>
      </c>
      <c r="R971" s="73">
        <v>19.96</v>
      </c>
      <c r="S971" s="69">
        <f t="shared" si="6"/>
        <v>0</v>
      </c>
      <c r="V971" s="66"/>
      <c r="AP971" s="66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I971"/>
      <c r="BJ971" s="66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C971"/>
      <c r="CD971" s="66"/>
      <c r="CX971" s="66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Q971"/>
    </row>
    <row r="972" spans="1:133" s="1" customFormat="1" hidden="1" x14ac:dyDescent="0.25">
      <c r="A972" s="74">
        <v>23</v>
      </c>
      <c r="B972" s="5"/>
      <c r="H972" s="271" t="s">
        <v>163</v>
      </c>
      <c r="I972" s="271" t="s">
        <v>164</v>
      </c>
      <c r="J972" s="271" t="s">
        <v>187</v>
      </c>
      <c r="K972" s="68">
        <v>21</v>
      </c>
      <c r="L972">
        <v>20.05</v>
      </c>
      <c r="M972">
        <v>19.809999999999999</v>
      </c>
      <c r="N972">
        <v>18.8</v>
      </c>
      <c r="O972" s="44">
        <f t="shared" si="3"/>
        <v>0</v>
      </c>
      <c r="P972" s="1">
        <f t="shared" si="4"/>
        <v>0</v>
      </c>
      <c r="Q972" s="1">
        <f t="shared" si="5"/>
        <v>0</v>
      </c>
      <c r="R972" s="73">
        <v>20.96</v>
      </c>
      <c r="S972" s="69">
        <f t="shared" si="6"/>
        <v>0</v>
      </c>
      <c r="V972" s="66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O972"/>
      <c r="AP972" s="66"/>
      <c r="BJ972" s="66"/>
      <c r="CD972" s="66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W972"/>
      <c r="CX972" s="66"/>
    </row>
    <row r="973" spans="1:133" s="1" customFormat="1" ht="15.75" hidden="1" thickBot="1" x14ac:dyDescent="0.3">
      <c r="A973" s="75" t="s">
        <v>11</v>
      </c>
      <c r="B973" s="5"/>
      <c r="H973" s="271"/>
      <c r="I973" s="271"/>
      <c r="J973" s="271"/>
      <c r="K973" s="68">
        <v>22</v>
      </c>
      <c r="L973">
        <v>21.1</v>
      </c>
      <c r="M973">
        <v>20.87</v>
      </c>
      <c r="N973">
        <v>19.899999999999999</v>
      </c>
      <c r="O973" s="44">
        <f t="shared" si="3"/>
        <v>0</v>
      </c>
      <c r="P973" s="1">
        <f t="shared" si="4"/>
        <v>0</v>
      </c>
      <c r="Q973" s="1">
        <f t="shared" si="5"/>
        <v>0</v>
      </c>
      <c r="R973" s="73">
        <v>21.96</v>
      </c>
      <c r="S973" s="69">
        <f t="shared" si="6"/>
        <v>0</v>
      </c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O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I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C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W973"/>
      <c r="CY973"/>
      <c r="CZ973"/>
      <c r="DA973"/>
      <c r="DB973"/>
      <c r="DC973"/>
      <c r="DD973"/>
      <c r="DE973"/>
      <c r="DF973"/>
      <c r="DG973"/>
      <c r="DH973"/>
      <c r="DI973"/>
      <c r="DJ973"/>
      <c r="DK973"/>
      <c r="DL973"/>
      <c r="DM973"/>
      <c r="DN973"/>
      <c r="DO973"/>
      <c r="DQ973"/>
    </row>
    <row r="974" spans="1:133" s="1" customFormat="1" ht="15.75" hidden="1" thickBot="1" x14ac:dyDescent="0.3">
      <c r="A974" s="5"/>
      <c r="B974" s="5"/>
      <c r="H974" s="271"/>
      <c r="I974" s="271"/>
      <c r="J974" s="271"/>
      <c r="K974" s="68">
        <v>23</v>
      </c>
      <c r="L974">
        <v>22.1</v>
      </c>
      <c r="M974">
        <v>21.92</v>
      </c>
      <c r="N974">
        <v>21.03</v>
      </c>
      <c r="O974" s="44">
        <f t="shared" si="3"/>
        <v>0</v>
      </c>
      <c r="P974" s="1">
        <f t="shared" si="4"/>
        <v>0</v>
      </c>
      <c r="Q974" s="1">
        <f t="shared" si="5"/>
        <v>0</v>
      </c>
      <c r="R974" s="73">
        <v>22.96</v>
      </c>
      <c r="S974" s="69">
        <f t="shared" si="6"/>
        <v>0</v>
      </c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I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C974"/>
      <c r="CY974"/>
      <c r="CZ974"/>
      <c r="DA974"/>
      <c r="DB974"/>
      <c r="DC974"/>
      <c r="DD974"/>
      <c r="DE974"/>
      <c r="DF974"/>
      <c r="DG974"/>
      <c r="DH974"/>
      <c r="DI974"/>
      <c r="DJ974"/>
      <c r="DK974"/>
      <c r="DL974"/>
      <c r="DM974"/>
      <c r="DN974"/>
      <c r="DO974"/>
      <c r="DQ974"/>
    </row>
    <row r="975" spans="1:133" s="1" customFormat="1" ht="15.75" hidden="1" thickBot="1" x14ac:dyDescent="0.3">
      <c r="A975" s="5"/>
      <c r="B975" s="5"/>
      <c r="H975" s="271"/>
      <c r="I975" s="271"/>
      <c r="J975" s="271"/>
      <c r="K975" s="76"/>
      <c r="L975" s="54"/>
      <c r="M975" s="54"/>
      <c r="N975" s="54"/>
      <c r="O975" s="307">
        <f>IF(D8=A943,ROUNDUP(SUM(O959:Q974),0)+5,ROUNDUP(SUM(O959:Q974),0))</f>
        <v>0</v>
      </c>
      <c r="P975" s="308"/>
      <c r="Q975" s="309"/>
      <c r="R975" s="307">
        <f>IF(D8=G979,ROUNDUP(SUM(S959:S974),0)+5,ROUNDUP(SUM(S959:S974),0))</f>
        <v>0</v>
      </c>
      <c r="S975" s="309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O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I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C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W975"/>
      <c r="CY975"/>
      <c r="CZ975"/>
      <c r="DA975"/>
      <c r="DB975"/>
      <c r="DC975"/>
      <c r="DD975"/>
      <c r="DE975"/>
      <c r="DF975"/>
      <c r="DG975"/>
      <c r="DH975"/>
      <c r="DI975"/>
      <c r="DJ975"/>
      <c r="DK975"/>
      <c r="DL975"/>
      <c r="DM975"/>
      <c r="DN975"/>
      <c r="DO975"/>
      <c r="DQ975"/>
    </row>
    <row r="976" spans="1:133" s="1" customFormat="1" ht="15.75" hidden="1" thickBot="1" x14ac:dyDescent="0.3">
      <c r="A976" s="5"/>
      <c r="B976" s="5"/>
      <c r="C976" s="314" t="s">
        <v>215</v>
      </c>
      <c r="D976" s="315"/>
      <c r="E976" s="315"/>
      <c r="F976" s="315"/>
      <c r="G976" s="77">
        <f ca="1">IF(BU948=0,1,0)</f>
        <v>1</v>
      </c>
      <c r="H976" s="272"/>
      <c r="I976" s="272"/>
      <c r="J976" s="272"/>
      <c r="AB976"/>
      <c r="CJ976"/>
    </row>
    <row r="977" spans="1:91" s="1" customFormat="1" ht="15.75" hidden="1" thickBot="1" x14ac:dyDescent="0.3">
      <c r="A977" s="5"/>
      <c r="B977" s="5"/>
      <c r="C977" s="269" t="s">
        <v>162</v>
      </c>
      <c r="D977" s="270"/>
      <c r="E977" s="270"/>
      <c r="F977" s="270"/>
      <c r="G977" s="270"/>
      <c r="H977" s="78">
        <f ca="1">IF(SUM(H978:H998)&gt;0,1,0)</f>
        <v>0</v>
      </c>
      <c r="I977" s="78">
        <f>SUM(I978:I998)</f>
        <v>1</v>
      </c>
      <c r="J977" s="78">
        <f ca="1">SUM(J978:J998)</f>
        <v>2</v>
      </c>
      <c r="K977" s="5"/>
      <c r="L977" s="5"/>
      <c r="M977" s="5"/>
      <c r="N977" s="5"/>
      <c r="O977" s="5"/>
      <c r="P977" s="5"/>
      <c r="Q977" s="5"/>
      <c r="AB977"/>
      <c r="CJ977"/>
    </row>
    <row r="978" spans="1:91" s="1" customFormat="1" hidden="1" x14ac:dyDescent="0.25">
      <c r="A978" s="5"/>
      <c r="B978" s="5"/>
      <c r="C978" s="250" t="s">
        <v>151</v>
      </c>
      <c r="D978" s="251"/>
      <c r="E978" s="251"/>
      <c r="F978" s="251"/>
      <c r="G978" s="251"/>
      <c r="H978" s="4">
        <f>IF(D8="",1,0)</f>
        <v>0</v>
      </c>
      <c r="I978" s="79"/>
      <c r="J978" s="80"/>
      <c r="K978" s="5"/>
      <c r="L978" s="5"/>
      <c r="M978" s="5"/>
      <c r="N978" s="5"/>
      <c r="O978" s="5"/>
      <c r="P978" s="5"/>
      <c r="Q978" s="5"/>
      <c r="AB978"/>
      <c r="CJ978"/>
    </row>
    <row r="979" spans="1:91" s="1" customFormat="1" hidden="1" x14ac:dyDescent="0.25">
      <c r="C979" s="268" t="s">
        <v>165</v>
      </c>
      <c r="D979" s="244"/>
      <c r="E979" s="244"/>
      <c r="F979" s="244"/>
      <c r="G979" s="244"/>
      <c r="H979" s="1">
        <f>IF(D10="",1,0)</f>
        <v>0</v>
      </c>
      <c r="I979" s="81"/>
      <c r="J979" s="82"/>
      <c r="AB979"/>
    </row>
    <row r="980" spans="1:91" s="1" customFormat="1" hidden="1" x14ac:dyDescent="0.25">
      <c r="A980"/>
      <c r="B980"/>
      <c r="C980" s="268" t="s">
        <v>166</v>
      </c>
      <c r="D980" s="244"/>
      <c r="E980" s="244"/>
      <c r="F980" s="244"/>
      <c r="G980" s="244"/>
      <c r="H980" s="1">
        <f>IF(D12="",1,0)</f>
        <v>0</v>
      </c>
      <c r="I980" s="81"/>
      <c r="J980" s="82"/>
      <c r="S980" s="10"/>
      <c r="T980" s="10"/>
      <c r="U980" s="10"/>
      <c r="V980" s="10"/>
      <c r="W980" s="10"/>
      <c r="AB980"/>
    </row>
    <row r="981" spans="1:91" s="1" customFormat="1" hidden="1" x14ac:dyDescent="0.25">
      <c r="A981"/>
      <c r="B981"/>
      <c r="C981" s="268" t="s">
        <v>216</v>
      </c>
      <c r="D981" s="244"/>
      <c r="E981" s="244"/>
      <c r="F981" s="244"/>
      <c r="G981" s="244"/>
      <c r="H981" s="1">
        <f>IF($D$12=$B$966,IF(OR(G924=8,G924=11,G924=18,G924=20),0,1),0)</f>
        <v>0</v>
      </c>
      <c r="I981" s="81"/>
      <c r="J981" s="82"/>
      <c r="AY981" s="5"/>
    </row>
    <row r="982" spans="1:91" s="1" customFormat="1" hidden="1" x14ac:dyDescent="0.25">
      <c r="A982"/>
      <c r="B982"/>
      <c r="C982" s="268" t="s">
        <v>167</v>
      </c>
      <c r="D982" s="244"/>
      <c r="E982" s="244"/>
      <c r="F982" s="244"/>
      <c r="G982" s="244"/>
      <c r="H982" s="1">
        <f>IF(D14="",1,0)</f>
        <v>0</v>
      </c>
      <c r="I982" s="81"/>
      <c r="J982" s="83"/>
      <c r="AQ982" s="16"/>
      <c r="AR982" s="16"/>
      <c r="AS982" s="16"/>
      <c r="AT982" s="16"/>
      <c r="AU982" s="16"/>
      <c r="AV982" s="16"/>
      <c r="AY982" s="5"/>
      <c r="BU982"/>
    </row>
    <row r="983" spans="1:91" s="1" customFormat="1" hidden="1" x14ac:dyDescent="0.25">
      <c r="A983" s="5"/>
      <c r="C983" s="268" t="s">
        <v>168</v>
      </c>
      <c r="D983" s="244"/>
      <c r="E983" s="244"/>
      <c r="F983" s="244"/>
      <c r="G983" s="244"/>
      <c r="H983" s="1">
        <f>IF(D16="",1,0)</f>
        <v>0</v>
      </c>
      <c r="I983" s="81"/>
      <c r="J983" s="83"/>
      <c r="L983" s="199" t="s">
        <v>190</v>
      </c>
      <c r="M983" s="199"/>
      <c r="N983" s="199"/>
      <c r="O983" s="199"/>
      <c r="P983" s="199">
        <v>20</v>
      </c>
      <c r="Q983" s="199"/>
      <c r="AQ983" s="16"/>
      <c r="AR983" s="16"/>
      <c r="AV983" s="16"/>
      <c r="AY983" s="5"/>
      <c r="BA983" s="16"/>
    </row>
    <row r="984" spans="1:91" s="1" customFormat="1" hidden="1" x14ac:dyDescent="0.25">
      <c r="A984" s="5"/>
      <c r="C984" s="268" t="s">
        <v>14</v>
      </c>
      <c r="D984" s="244"/>
      <c r="E984" s="244"/>
      <c r="F984" s="244"/>
      <c r="G984" s="244"/>
      <c r="H984" s="1">
        <f ca="1">IF(S924=0,0,IF(D18="",1,0))</f>
        <v>0</v>
      </c>
      <c r="I984" s="81"/>
      <c r="J984" s="82"/>
      <c r="BI984" s="84"/>
      <c r="CE984" s="84"/>
    </row>
    <row r="985" spans="1:91" s="1" customFormat="1" ht="17.25" hidden="1" x14ac:dyDescent="0.25">
      <c r="A985" s="85"/>
      <c r="C985" s="268" t="s">
        <v>169</v>
      </c>
      <c r="D985" s="244"/>
      <c r="E985" s="244"/>
      <c r="F985" s="244"/>
      <c r="G985" s="244"/>
      <c r="H985" s="5">
        <f>IF(D8=A943,IF(D20="",1,0),0)</f>
        <v>0</v>
      </c>
      <c r="I985" s="86"/>
      <c r="J985" s="82"/>
      <c r="BA985" s="16"/>
      <c r="BB985" s="16"/>
      <c r="BC985" s="16"/>
      <c r="BD985" s="16"/>
      <c r="BE985" s="16"/>
      <c r="BF985" s="16"/>
      <c r="BG985" s="16"/>
      <c r="BH985" s="16"/>
      <c r="BJ985" s="16"/>
      <c r="BK985" s="16"/>
      <c r="BL985" s="16"/>
      <c r="BM985" s="16"/>
      <c r="BN985" s="16"/>
      <c r="BO985" s="16"/>
      <c r="BP985" s="16"/>
      <c r="BQ985" s="16"/>
      <c r="BW985" s="16"/>
      <c r="BX985" s="16"/>
      <c r="BY985" s="16"/>
      <c r="BZ985" s="16"/>
      <c r="CA985" s="16"/>
      <c r="CB985" s="16"/>
      <c r="CC985" s="16"/>
      <c r="CD985" s="16"/>
      <c r="CF985" s="16"/>
      <c r="CG985" s="16"/>
      <c r="CH985" s="16"/>
      <c r="CI985" s="16"/>
      <c r="CJ985" s="16"/>
      <c r="CK985" s="16"/>
      <c r="CL985" s="16"/>
      <c r="CM985" s="16"/>
    </row>
    <row r="986" spans="1:91" s="1" customFormat="1" hidden="1" x14ac:dyDescent="0.25">
      <c r="A986"/>
      <c r="B986"/>
      <c r="C986" s="268" t="s">
        <v>170</v>
      </c>
      <c r="D986" s="244"/>
      <c r="E986" s="244"/>
      <c r="F986" s="244"/>
      <c r="G986" s="244"/>
      <c r="H986" s="86"/>
      <c r="I986" s="5">
        <f>IF(OR(AL27="-",AL27=""),1,0)</f>
        <v>1</v>
      </c>
      <c r="J986" s="82"/>
      <c r="K986"/>
      <c r="L986"/>
      <c r="M986"/>
      <c r="N986"/>
      <c r="O986"/>
      <c r="P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BA986" s="16"/>
      <c r="BB986" s="16"/>
      <c r="BC986" s="16"/>
      <c r="BD986" s="16"/>
      <c r="BE986" s="16"/>
      <c r="BF986" s="16"/>
      <c r="BG986" s="16"/>
      <c r="BH986" s="16"/>
      <c r="BJ986" s="16"/>
      <c r="BK986" s="16"/>
      <c r="BL986" s="16"/>
      <c r="BM986" s="16"/>
      <c r="BN986" s="16"/>
      <c r="BO986" s="16"/>
      <c r="BP986" s="16"/>
      <c r="BQ986" s="16"/>
      <c r="BW986" s="16"/>
      <c r="BX986" s="16"/>
      <c r="BY986" s="16"/>
      <c r="BZ986" s="16"/>
      <c r="CA986" s="16"/>
      <c r="CB986" s="16"/>
      <c r="CC986" s="16"/>
      <c r="CD986" s="16"/>
      <c r="CF986" s="16"/>
      <c r="CG986" s="16"/>
      <c r="CH986" s="16"/>
      <c r="CI986" s="16"/>
      <c r="CJ986" s="16"/>
      <c r="CK986" s="16"/>
      <c r="CL986" s="16"/>
      <c r="CM986" s="16"/>
    </row>
    <row r="987" spans="1:91" s="1" customFormat="1" hidden="1" x14ac:dyDescent="0.25">
      <c r="A987"/>
      <c r="B987"/>
      <c r="C987" s="268" t="s">
        <v>171</v>
      </c>
      <c r="D987" s="244"/>
      <c r="E987" s="244"/>
      <c r="F987" s="244"/>
      <c r="G987" s="244"/>
      <c r="H987" s="1">
        <f>IF(ISTEXT(D10)=TRUE,1,0)</f>
        <v>0</v>
      </c>
      <c r="I987" s="81"/>
      <c r="J987" s="82"/>
      <c r="BA987" s="16"/>
      <c r="BB987" s="16"/>
      <c r="BC987" s="16"/>
      <c r="BD987" s="16"/>
      <c r="BE987" s="16"/>
      <c r="BF987" s="16"/>
      <c r="BG987" s="16"/>
      <c r="BH987" s="16"/>
      <c r="BJ987" s="16"/>
      <c r="BK987" s="16"/>
      <c r="BL987" s="16"/>
      <c r="BM987" s="16"/>
      <c r="BN987" s="16"/>
      <c r="BO987" s="16"/>
      <c r="BP987" s="16"/>
      <c r="BQ987" s="16"/>
      <c r="BW987" s="16"/>
      <c r="BX987" s="16"/>
      <c r="BY987" s="16"/>
      <c r="BZ987" s="16"/>
      <c r="CA987" s="16"/>
      <c r="CB987" s="16"/>
      <c r="CC987" s="16"/>
      <c r="CD987" s="16"/>
      <c r="CF987" s="16"/>
      <c r="CG987" s="16"/>
      <c r="CH987" s="16"/>
      <c r="CI987" s="16"/>
      <c r="CJ987" s="16"/>
      <c r="CK987" s="16"/>
      <c r="CL987" s="16"/>
      <c r="CM987" s="16"/>
    </row>
    <row r="988" spans="1:91" s="1" customFormat="1" hidden="1" x14ac:dyDescent="0.25">
      <c r="A988" s="9"/>
      <c r="B988" s="9"/>
      <c r="C988" s="268" t="s">
        <v>172</v>
      </c>
      <c r="D988" s="244"/>
      <c r="E988" s="244"/>
      <c r="F988" s="244"/>
      <c r="G988" s="244"/>
      <c r="H988" s="1">
        <f>IF(ISTEXT(D20)=TRUE,1,0)</f>
        <v>0</v>
      </c>
      <c r="I988" s="81"/>
      <c r="J988" s="82"/>
      <c r="BA988" s="16"/>
      <c r="BB988" s="16"/>
      <c r="BC988" s="16"/>
      <c r="BD988" s="16"/>
      <c r="BE988" s="16"/>
      <c r="BF988" s="16"/>
      <c r="BG988" s="16"/>
      <c r="BH988" s="16"/>
      <c r="BJ988" s="16"/>
      <c r="BK988" s="16"/>
      <c r="BL988" s="16"/>
      <c r="BM988" s="16"/>
      <c r="BN988" s="16"/>
      <c r="BO988" s="16"/>
      <c r="BP988" s="16"/>
      <c r="BQ988" s="16"/>
      <c r="BW988" s="16"/>
      <c r="BX988" s="16"/>
      <c r="BY988" s="16"/>
      <c r="BZ988" s="16"/>
      <c r="CA988" s="16"/>
      <c r="CB988" s="16"/>
      <c r="CC988" s="16"/>
      <c r="CD988" s="16"/>
      <c r="CF988" s="16"/>
      <c r="CG988" s="16"/>
      <c r="CH988" s="16"/>
      <c r="CI988" s="16"/>
      <c r="CJ988" s="16"/>
      <c r="CK988" s="16"/>
      <c r="CL988" s="16"/>
      <c r="CM988" s="16"/>
    </row>
    <row r="989" spans="1:91" s="1" customFormat="1" hidden="1" x14ac:dyDescent="0.25">
      <c r="A989" s="9"/>
      <c r="B989" s="9"/>
      <c r="C989" s="268" t="s">
        <v>16</v>
      </c>
      <c r="D989" s="244"/>
      <c r="E989" s="244"/>
      <c r="F989" s="244"/>
      <c r="G989" s="244"/>
      <c r="H989" s="1">
        <f>IF(D10&lt;P983,1,0)</f>
        <v>0</v>
      </c>
      <c r="I989" s="87"/>
      <c r="J989" s="82"/>
      <c r="BA989" s="16"/>
      <c r="BB989" s="16"/>
      <c r="BC989" s="16"/>
      <c r="BD989" s="16"/>
      <c r="BE989" s="16"/>
      <c r="BF989" s="16"/>
      <c r="BG989" s="16"/>
      <c r="BH989" s="16"/>
      <c r="BJ989" s="16"/>
      <c r="BK989" s="16"/>
      <c r="BL989" s="16"/>
      <c r="BM989" s="16"/>
      <c r="BN989" s="16"/>
      <c r="BO989" s="16"/>
      <c r="BP989" s="16"/>
      <c r="BQ989" s="16"/>
      <c r="BW989" s="16"/>
      <c r="BX989" s="16"/>
      <c r="BY989" s="16"/>
      <c r="BZ989" s="16"/>
      <c r="CA989" s="16"/>
      <c r="CB989" s="16"/>
      <c r="CC989" s="16"/>
      <c r="CD989" s="16"/>
      <c r="CF989" s="16"/>
      <c r="CG989" s="16"/>
      <c r="CH989" s="16"/>
      <c r="CI989" s="16"/>
      <c r="CJ989" s="16"/>
      <c r="CK989" s="16"/>
      <c r="CL989" s="16"/>
      <c r="CM989" s="16"/>
    </row>
    <row r="990" spans="1:91" s="1" customFormat="1" hidden="1" x14ac:dyDescent="0.25">
      <c r="A990" s="88"/>
      <c r="B990" s="88"/>
      <c r="C990" s="268" t="s">
        <v>179</v>
      </c>
      <c r="D990" s="244"/>
      <c r="E990" s="244"/>
      <c r="F990" s="244"/>
      <c r="G990" s="244"/>
      <c r="H990" s="81"/>
      <c r="I990" s="86"/>
      <c r="J990" s="7">
        <f>IF(ISTEXT(AN21)=TRUE,1,0)</f>
        <v>0</v>
      </c>
      <c r="BA990" s="16"/>
      <c r="BB990" s="16"/>
      <c r="BC990" s="16"/>
      <c r="BD990" s="16"/>
      <c r="BE990" s="16"/>
      <c r="BF990" s="16"/>
      <c r="BG990" s="16"/>
      <c r="BH990" s="16"/>
      <c r="BJ990" s="16"/>
      <c r="BK990" s="16"/>
      <c r="BL990" s="16"/>
      <c r="BM990" s="16"/>
      <c r="BN990" s="16"/>
      <c r="BO990" s="16"/>
      <c r="BP990" s="16"/>
      <c r="BQ990" s="16"/>
      <c r="BW990" s="16"/>
      <c r="BX990" s="16"/>
      <c r="BY990" s="16"/>
      <c r="BZ990" s="16"/>
      <c r="CA990" s="16"/>
      <c r="CB990" s="16"/>
      <c r="CC990" s="16"/>
      <c r="CD990" s="16"/>
      <c r="CF990" s="16"/>
      <c r="CG990" s="16"/>
      <c r="CH990" s="16"/>
      <c r="CI990" s="16"/>
      <c r="CJ990" s="16"/>
      <c r="CK990" s="16"/>
      <c r="CL990" s="16"/>
      <c r="CM990" s="16"/>
    </row>
    <row r="991" spans="1:91" s="1" customFormat="1" hidden="1" x14ac:dyDescent="0.25">
      <c r="A991" s="88"/>
      <c r="B991" s="88"/>
      <c r="C991" s="268" t="s">
        <v>180</v>
      </c>
      <c r="D991" s="244"/>
      <c r="E991" s="244"/>
      <c r="F991" s="244"/>
      <c r="G991" s="244"/>
      <c r="H991" s="86"/>
      <c r="I991" s="86"/>
      <c r="J991" s="7">
        <f>IF(AN21&lt;5,1,0)</f>
        <v>1</v>
      </c>
      <c r="AP991" s="5"/>
      <c r="AQ991" s="6"/>
      <c r="BA991" s="16"/>
      <c r="BB991" s="16"/>
      <c r="BC991" s="16"/>
      <c r="BD991" s="16"/>
      <c r="BE991" s="16"/>
      <c r="BF991" s="16"/>
      <c r="BG991" s="16"/>
      <c r="BH991" s="16"/>
      <c r="BJ991" s="16"/>
      <c r="BK991" s="16"/>
      <c r="BL991" s="16"/>
      <c r="BM991" s="16"/>
      <c r="BN991" s="16"/>
      <c r="BO991" s="16"/>
      <c r="BP991" s="16"/>
      <c r="BQ991" s="16"/>
      <c r="BW991" s="16"/>
      <c r="BX991" s="16"/>
      <c r="BY991" s="16"/>
      <c r="BZ991" s="16"/>
      <c r="CA991" s="16"/>
      <c r="CB991" s="16"/>
      <c r="CC991" s="16"/>
      <c r="CD991" s="16"/>
      <c r="CF991" s="16"/>
      <c r="CG991" s="16"/>
      <c r="CH991" s="16"/>
      <c r="CI991" s="16"/>
      <c r="CJ991" s="16"/>
      <c r="CK991" s="16"/>
      <c r="CL991" s="16"/>
      <c r="CM991" s="16"/>
    </row>
    <row r="992" spans="1:91" s="1" customFormat="1" hidden="1" x14ac:dyDescent="0.25">
      <c r="A992" s="88"/>
      <c r="B992" s="88"/>
      <c r="C992" s="268" t="s">
        <v>188</v>
      </c>
      <c r="D992" s="244"/>
      <c r="E992" s="244"/>
      <c r="F992" s="244"/>
      <c r="G992" s="244"/>
      <c r="H992" s="86"/>
      <c r="I992" s="86"/>
      <c r="J992" s="7">
        <f>IF(AN21&gt;(D10-5),1,0)</f>
        <v>0</v>
      </c>
      <c r="BA992" s="16"/>
      <c r="BB992" s="16"/>
      <c r="BC992" s="16"/>
      <c r="BD992" s="16"/>
      <c r="BE992" s="16"/>
      <c r="BF992" s="16"/>
      <c r="BG992" s="16"/>
      <c r="BH992" s="16"/>
      <c r="BI992"/>
      <c r="BJ992" s="16"/>
      <c r="BK992" s="16"/>
      <c r="BL992" s="16"/>
      <c r="BM992" s="16"/>
      <c r="BN992" s="16"/>
      <c r="BO992" s="16"/>
      <c r="BP992" s="16"/>
      <c r="BQ992" s="16"/>
      <c r="BT992"/>
      <c r="BU992"/>
      <c r="BW992" s="16"/>
      <c r="BX992" s="16"/>
      <c r="BY992" s="16"/>
      <c r="BZ992" s="16"/>
      <c r="CA992" s="16"/>
      <c r="CB992" s="16"/>
      <c r="CC992" s="16"/>
      <c r="CD992" s="16"/>
      <c r="CE992"/>
      <c r="CF992" s="16"/>
      <c r="CG992" s="16"/>
      <c r="CH992" s="16"/>
      <c r="CI992" s="16"/>
      <c r="CJ992" s="16"/>
      <c r="CK992" s="16"/>
      <c r="CL992" s="16"/>
      <c r="CM992" s="16"/>
    </row>
    <row r="993" spans="1:91" s="1" customFormat="1" hidden="1" x14ac:dyDescent="0.25">
      <c r="A993" s="88"/>
      <c r="B993" s="88"/>
      <c r="C993" s="268" t="s">
        <v>189</v>
      </c>
      <c r="D993" s="244"/>
      <c r="E993" s="244"/>
      <c r="F993" s="244"/>
      <c r="G993" s="244"/>
      <c r="H993" s="86"/>
      <c r="I993" s="86"/>
      <c r="J993" s="7">
        <f ca="1">IF(J924=2,0,1)</f>
        <v>1</v>
      </c>
      <c r="AQ993" s="6"/>
      <c r="BA993" s="16"/>
      <c r="BB993" s="16"/>
      <c r="BC993" s="16"/>
      <c r="BD993" s="16"/>
      <c r="BE993" s="16"/>
      <c r="BF993" s="16"/>
      <c r="BG993" s="16"/>
      <c r="BH993" s="16"/>
      <c r="BI993"/>
      <c r="BJ993" s="16"/>
      <c r="BK993" s="16"/>
      <c r="BL993" s="16"/>
      <c r="BM993" s="16"/>
      <c r="BN993" s="16"/>
      <c r="BO993" s="16"/>
      <c r="BP993" s="16"/>
      <c r="BQ993" s="16"/>
      <c r="BW993" s="16"/>
      <c r="BX993" s="16"/>
      <c r="BY993" s="16"/>
      <c r="BZ993" s="16"/>
      <c r="CA993" s="16"/>
      <c r="CB993" s="16"/>
      <c r="CC993" s="16"/>
      <c r="CD993" s="16"/>
      <c r="CE993"/>
      <c r="CF993" s="16"/>
      <c r="CG993" s="16"/>
      <c r="CH993" s="16"/>
      <c r="CI993" s="16"/>
      <c r="CJ993" s="16"/>
      <c r="CK993" s="16"/>
      <c r="CL993" s="16"/>
      <c r="CM993" s="16"/>
    </row>
    <row r="994" spans="1:91" s="1" customFormat="1" ht="15.75" hidden="1" customHeight="1" x14ac:dyDescent="0.25">
      <c r="A994" s="89"/>
      <c r="B994" s="89"/>
      <c r="C994" s="268" t="s">
        <v>199</v>
      </c>
      <c r="D994" s="244"/>
      <c r="E994" s="244"/>
      <c r="F994" s="244"/>
      <c r="G994" s="244"/>
      <c r="H994" s="86"/>
      <c r="I994" s="86"/>
      <c r="J994" s="7">
        <f>IF(D16=B960,1,0)</f>
        <v>0</v>
      </c>
      <c r="BA994" s="16"/>
      <c r="BB994" s="16"/>
      <c r="BC994" s="16"/>
      <c r="BD994" s="16"/>
      <c r="BE994" s="16"/>
      <c r="BF994" s="16"/>
      <c r="BG994" s="16"/>
      <c r="BH994" s="16"/>
      <c r="BI994"/>
      <c r="BJ994" s="16"/>
      <c r="BK994" s="16"/>
      <c r="BL994" s="16"/>
      <c r="BM994" s="16"/>
      <c r="BN994" s="16"/>
      <c r="BO994" s="16"/>
      <c r="BP994" s="16"/>
      <c r="BQ994" s="16"/>
      <c r="BW994" s="16"/>
      <c r="BX994" s="16"/>
      <c r="BY994" s="16"/>
      <c r="BZ994" s="16"/>
      <c r="CA994" s="16"/>
      <c r="CB994" s="16"/>
      <c r="CC994" s="16"/>
      <c r="CD994" s="16"/>
      <c r="CE994"/>
      <c r="CF994" s="16"/>
      <c r="CG994" s="16"/>
      <c r="CH994" s="16"/>
      <c r="CI994" s="16"/>
      <c r="CJ994" s="16"/>
      <c r="CK994" s="16"/>
      <c r="CL994" s="16"/>
      <c r="CM994" s="16"/>
    </row>
    <row r="995" spans="1:91" s="1" customFormat="1" hidden="1" x14ac:dyDescent="0.25">
      <c r="A995" s="90"/>
      <c r="B995" s="90"/>
      <c r="C995" s="268" t="s">
        <v>31</v>
      </c>
      <c r="D995" s="244"/>
      <c r="E995" s="244"/>
      <c r="F995" s="244"/>
      <c r="G995" s="244"/>
      <c r="H995" s="86"/>
      <c r="I995" s="86"/>
      <c r="J995" s="7">
        <f>IF(D8=A943,1,0)</f>
        <v>0</v>
      </c>
      <c r="AQ995" s="6"/>
      <c r="BA995" s="16"/>
      <c r="BB995" s="16"/>
      <c r="BC995" s="16"/>
      <c r="BD995" s="16"/>
      <c r="BE995" s="16"/>
      <c r="BF995" s="16"/>
      <c r="BG995" s="16"/>
      <c r="BH995" s="16"/>
      <c r="BI995"/>
      <c r="BJ995" s="16"/>
      <c r="BK995" s="16"/>
      <c r="BL995" s="16"/>
      <c r="BM995" s="16"/>
      <c r="BN995" s="16"/>
      <c r="BO995" s="16"/>
      <c r="BP995" s="16"/>
      <c r="BQ995" s="16"/>
      <c r="BW995" s="16"/>
      <c r="BX995" s="16"/>
      <c r="BY995" s="16"/>
      <c r="BZ995" s="16"/>
      <c r="CA995" s="16"/>
      <c r="CB995" s="16"/>
      <c r="CC995" s="16"/>
      <c r="CD995" s="16"/>
      <c r="CE995"/>
      <c r="CF995" s="16"/>
      <c r="CG995" s="16"/>
      <c r="CH995" s="16"/>
      <c r="CI995" s="16"/>
      <c r="CJ995" s="16"/>
      <c r="CK995" s="16"/>
      <c r="CL995" s="16"/>
      <c r="CM995" s="16"/>
    </row>
    <row r="996" spans="1:91" s="1" customFormat="1" hidden="1" x14ac:dyDescent="0.25">
      <c r="A996" s="91"/>
      <c r="B996" s="91"/>
      <c r="C996" s="268" t="s">
        <v>175</v>
      </c>
      <c r="D996" s="244"/>
      <c r="E996" s="244"/>
      <c r="F996" s="244"/>
      <c r="G996" s="244"/>
      <c r="H996" s="1">
        <f>IF(D8=A943,IF(D16=B960,1,0),0)</f>
        <v>0</v>
      </c>
      <c r="I996" s="87"/>
      <c r="J996" s="82"/>
      <c r="AQ996" s="6"/>
      <c r="BA996" s="16"/>
      <c r="BB996" s="16"/>
      <c r="BC996" s="16"/>
      <c r="BD996" s="16"/>
      <c r="BE996" s="16"/>
      <c r="BF996" s="16"/>
      <c r="BG996" s="16"/>
      <c r="BH996" s="16"/>
      <c r="BI996"/>
      <c r="BJ996" s="16"/>
      <c r="BK996" s="16"/>
      <c r="BL996" s="16"/>
      <c r="BM996" s="16"/>
      <c r="BN996" s="16"/>
      <c r="BO996" s="16"/>
      <c r="BP996" s="16"/>
      <c r="BQ996" s="16"/>
      <c r="BW996" s="16"/>
      <c r="BX996" s="16"/>
      <c r="BY996" s="16"/>
      <c r="BZ996" s="16"/>
      <c r="CA996" s="16"/>
      <c r="CB996" s="16"/>
      <c r="CC996" s="16"/>
      <c r="CD996" s="16"/>
      <c r="CE996"/>
      <c r="CF996" s="16"/>
      <c r="CG996" s="16"/>
      <c r="CH996" s="16"/>
      <c r="CI996" s="16"/>
      <c r="CJ996" s="16"/>
      <c r="CK996" s="16"/>
      <c r="CL996" s="16"/>
      <c r="CM996" s="16"/>
    </row>
    <row r="997" spans="1:91" s="1" customFormat="1" hidden="1" x14ac:dyDescent="0.25">
      <c r="C997" s="268" t="s">
        <v>173</v>
      </c>
      <c r="D997" s="244"/>
      <c r="E997" s="244"/>
      <c r="F997" s="244"/>
      <c r="G997" s="244"/>
      <c r="H997" s="1">
        <f>IF(D8=A943,IF(D20&lt;(0-(D10-(BA924+BC924))),1,0),0)</f>
        <v>0</v>
      </c>
      <c r="I997" s="87"/>
      <c r="J997" s="82"/>
      <c r="AQ997" s="6"/>
      <c r="BA997" s="16"/>
      <c r="BB997" s="16"/>
      <c r="BC997" s="16"/>
      <c r="BD997" s="16"/>
      <c r="BE997" s="16"/>
      <c r="BF997" s="16"/>
      <c r="BG997" s="16"/>
      <c r="BH997" s="16"/>
      <c r="BI997"/>
      <c r="BJ997" s="16"/>
      <c r="BK997" s="16"/>
      <c r="BL997" s="16"/>
      <c r="BM997" s="16"/>
      <c r="BN997" s="16"/>
      <c r="BO997" s="16"/>
      <c r="BP997" s="16"/>
      <c r="BQ997" s="16"/>
      <c r="BW997" s="16"/>
      <c r="BX997" s="16"/>
      <c r="BY997" s="16"/>
      <c r="BZ997" s="16"/>
      <c r="CA997" s="16"/>
      <c r="CB997" s="16"/>
      <c r="CC997" s="16"/>
      <c r="CD997" s="16"/>
      <c r="CE997"/>
      <c r="CF997" s="16"/>
      <c r="CG997" s="16"/>
      <c r="CH997" s="16"/>
      <c r="CI997" s="16"/>
      <c r="CJ997" s="16"/>
      <c r="CK997" s="16"/>
      <c r="CL997" s="16"/>
      <c r="CM997" s="16"/>
    </row>
    <row r="998" spans="1:91" s="1" customFormat="1" ht="15.75" hidden="1" thickBot="1" x14ac:dyDescent="0.3">
      <c r="A998" s="5"/>
      <c r="C998" s="267" t="s">
        <v>174</v>
      </c>
      <c r="D998" s="262"/>
      <c r="E998" s="262"/>
      <c r="F998" s="262"/>
      <c r="G998" s="262"/>
      <c r="H998" s="12">
        <f>IF(D8=A943,IF(D20&gt;(D10-(BA924+BC924)),1,0),0)</f>
        <v>0</v>
      </c>
      <c r="I998" s="92"/>
      <c r="J998" s="93"/>
      <c r="BA998" s="16"/>
      <c r="BB998" s="16"/>
      <c r="BC998" s="16"/>
      <c r="BD998" s="16"/>
      <c r="BE998" s="16"/>
      <c r="BF998" s="16"/>
      <c r="BG998" s="16"/>
      <c r="BH998" s="16"/>
      <c r="BI998"/>
      <c r="BJ998" s="16"/>
      <c r="BK998" s="16"/>
      <c r="BL998" s="16"/>
      <c r="BM998" s="16"/>
      <c r="BN998" s="16"/>
      <c r="BO998" s="16"/>
      <c r="BP998" s="16"/>
      <c r="BQ998" s="16"/>
      <c r="BW998" s="16"/>
      <c r="BX998" s="16"/>
      <c r="BY998" s="16"/>
      <c r="BZ998" s="16"/>
      <c r="CA998" s="16"/>
      <c r="CB998" s="16"/>
      <c r="CC998" s="16"/>
      <c r="CD998" s="16"/>
      <c r="CE998"/>
      <c r="CF998" s="16"/>
      <c r="CG998" s="16"/>
      <c r="CH998" s="16"/>
      <c r="CI998" s="16"/>
      <c r="CJ998" s="16"/>
      <c r="CK998" s="16"/>
      <c r="CL998" s="16"/>
      <c r="CM998" s="16"/>
    </row>
    <row r="999" spans="1:91" s="1" customFormat="1" hidden="1" x14ac:dyDescent="0.25">
      <c r="A999" s="5"/>
      <c r="BA999" s="16"/>
      <c r="BB999" s="16"/>
      <c r="BC999" s="16"/>
      <c r="BD999" s="16"/>
      <c r="BE999" s="16"/>
      <c r="BF999" s="16"/>
      <c r="BG999" s="16"/>
      <c r="BH999" s="16"/>
      <c r="BI999"/>
      <c r="BJ999" s="16"/>
      <c r="BK999" s="16"/>
      <c r="BL999" s="16"/>
      <c r="BM999" s="16"/>
      <c r="BN999" s="16"/>
      <c r="BO999" s="16"/>
      <c r="BP999" s="16"/>
      <c r="BQ999" s="16"/>
      <c r="BW999" s="16"/>
      <c r="BX999" s="16"/>
      <c r="BY999" s="16"/>
      <c r="BZ999" s="16"/>
      <c r="CA999" s="16"/>
      <c r="CB999" s="16"/>
      <c r="CC999" s="16"/>
      <c r="CD999" s="16"/>
      <c r="CE999"/>
      <c r="CF999" s="16"/>
      <c r="CG999" s="16"/>
      <c r="CH999" s="16"/>
      <c r="CI999" s="16"/>
      <c r="CJ999" s="16"/>
      <c r="CK999" s="16"/>
      <c r="CL999" s="16"/>
      <c r="CM999" s="16"/>
    </row>
    <row r="1000" spans="1:91" s="95" customFormat="1" x14ac:dyDescent="0.25">
      <c r="A1000" s="94"/>
      <c r="AP1000" s="94"/>
      <c r="BA1000" s="96"/>
      <c r="BB1000" s="96"/>
      <c r="BC1000" s="96"/>
      <c r="BD1000" s="96"/>
      <c r="BE1000" s="96"/>
      <c r="BF1000" s="96"/>
      <c r="BG1000" s="96"/>
      <c r="BH1000" s="96"/>
      <c r="BI1000" s="97"/>
      <c r="BJ1000" s="96"/>
      <c r="BK1000" s="96"/>
      <c r="BL1000" s="96"/>
      <c r="BM1000" s="96"/>
      <c r="BN1000" s="96"/>
      <c r="BO1000" s="96"/>
      <c r="BP1000" s="96"/>
      <c r="BQ1000" s="96"/>
      <c r="BW1000" s="96"/>
      <c r="BX1000" s="96"/>
      <c r="BY1000" s="96"/>
      <c r="BZ1000" s="96"/>
      <c r="CA1000" s="96"/>
      <c r="CB1000" s="96"/>
      <c r="CC1000" s="96"/>
      <c r="CD1000" s="96"/>
      <c r="CE1000" s="97"/>
      <c r="CF1000" s="96"/>
      <c r="CG1000" s="96"/>
      <c r="CH1000" s="96"/>
      <c r="CI1000" s="96"/>
      <c r="CJ1000" s="96"/>
      <c r="CK1000" s="96"/>
      <c r="CL1000" s="96"/>
      <c r="CM1000" s="96"/>
    </row>
    <row r="1001" spans="1:91" s="95" customFormat="1" x14ac:dyDescent="0.25">
      <c r="A1001" s="94"/>
      <c r="BA1001" s="96"/>
      <c r="BE1001" s="98"/>
      <c r="BH1001" s="96"/>
      <c r="BJ1001" s="96"/>
      <c r="BN1001" s="98"/>
      <c r="BQ1001" s="96"/>
      <c r="BW1001" s="96"/>
      <c r="CA1001" s="98"/>
      <c r="CD1001" s="96"/>
      <c r="CF1001" s="96"/>
      <c r="CJ1001" s="98"/>
      <c r="CM1001" s="96"/>
    </row>
    <row r="1002" spans="1:91" s="95" customFormat="1" x14ac:dyDescent="0.25">
      <c r="A1002" s="94"/>
      <c r="I1002" s="98"/>
      <c r="BH1002" s="96"/>
      <c r="BQ1002" s="96"/>
      <c r="CD1002" s="96"/>
      <c r="CM1002" s="96"/>
    </row>
    <row r="1003" spans="1:91" s="95" customFormat="1" x14ac:dyDescent="0.25">
      <c r="A1003" s="94"/>
      <c r="BH1003" s="96"/>
      <c r="BQ1003" s="96"/>
      <c r="CD1003" s="96"/>
      <c r="CM1003" s="96"/>
    </row>
    <row r="1004" spans="1:91" s="95" customFormat="1" x14ac:dyDescent="0.25">
      <c r="H1004" s="99"/>
      <c r="BH1004" s="96"/>
      <c r="BQ1004" s="96"/>
      <c r="CD1004" s="96"/>
      <c r="CM1004" s="96"/>
    </row>
    <row r="1005" spans="1:91" s="95" customFormat="1" x14ac:dyDescent="0.25">
      <c r="I1005" s="98"/>
    </row>
    <row r="1006" spans="1:91" s="95" customFormat="1" x14ac:dyDescent="0.25">
      <c r="I1006" s="98"/>
    </row>
    <row r="1007" spans="1:91" s="95" customFormat="1" x14ac:dyDescent="0.25">
      <c r="I1007" s="98"/>
    </row>
    <row r="1008" spans="1:91" s="95" customFormat="1" x14ac:dyDescent="0.25">
      <c r="G1008" s="100"/>
      <c r="H1008" s="101"/>
    </row>
    <row r="1009" spans="1:71" s="95" customFormat="1" x14ac:dyDescent="0.25">
      <c r="H1009" s="98"/>
    </row>
    <row r="1010" spans="1:71" s="95" customFormat="1" x14ac:dyDescent="0.25">
      <c r="I1010" s="98"/>
    </row>
    <row r="1011" spans="1:71" s="95" customFormat="1" x14ac:dyDescent="0.25">
      <c r="I1011" s="98"/>
    </row>
    <row r="1012" spans="1:71" s="95" customFormat="1" x14ac:dyDescent="0.25">
      <c r="D1012" s="102"/>
      <c r="E1012" s="102"/>
      <c r="F1012" s="102"/>
      <c r="G1012" s="102"/>
      <c r="H1012" s="102"/>
      <c r="I1012" s="102"/>
      <c r="J1012" s="102"/>
    </row>
    <row r="1013" spans="1:71" s="95" customFormat="1" x14ac:dyDescent="0.25">
      <c r="D1013" s="102"/>
      <c r="E1013" s="102"/>
      <c r="F1013" s="102"/>
      <c r="G1013" s="102"/>
      <c r="H1013" s="102"/>
      <c r="I1013" s="102"/>
      <c r="J1013" s="102"/>
    </row>
    <row r="1014" spans="1:71" s="95" customFormat="1" x14ac:dyDescent="0.25">
      <c r="AP1014" s="94"/>
      <c r="AZ1014" s="98"/>
    </row>
    <row r="1015" spans="1:71" s="95" customFormat="1" x14ac:dyDescent="0.25">
      <c r="A1015" s="103"/>
      <c r="B1015" s="103"/>
      <c r="C1015" s="103"/>
      <c r="D1015" s="103"/>
      <c r="E1015" s="104"/>
      <c r="AP1015" s="94"/>
      <c r="AZ1015" s="98"/>
    </row>
    <row r="1016" spans="1:71" s="95" customFormat="1" x14ac:dyDescent="0.25">
      <c r="A1016" s="94"/>
      <c r="B1016" s="94"/>
      <c r="C1016" s="94"/>
      <c r="D1016" s="105"/>
      <c r="E1016" s="105"/>
      <c r="F1016" s="94"/>
      <c r="AP1016" s="94"/>
      <c r="AZ1016" s="98"/>
    </row>
    <row r="1017" spans="1:71" s="95" customFormat="1" x14ac:dyDescent="0.25">
      <c r="A1017" s="94"/>
      <c r="B1017" s="94"/>
      <c r="I1017" s="97"/>
      <c r="L1017" s="94"/>
      <c r="AZ1017" s="98"/>
    </row>
    <row r="1018" spans="1:71" s="95" customFormat="1" x14ac:dyDescent="0.25">
      <c r="A1018" s="94"/>
      <c r="D1018" s="94"/>
      <c r="E1018" s="106"/>
      <c r="F1018" s="100"/>
      <c r="I1018" s="97"/>
      <c r="AZ1018" s="98"/>
    </row>
    <row r="1019" spans="1:71" s="95" customFormat="1" x14ac:dyDescent="0.25">
      <c r="A1019" s="103"/>
      <c r="B1019" s="103"/>
      <c r="C1019" s="103"/>
      <c r="D1019" s="103"/>
      <c r="E1019" s="103"/>
      <c r="F1019" s="107"/>
      <c r="I1019" s="97"/>
      <c r="AR1019" s="108"/>
      <c r="AS1019" s="108"/>
      <c r="AZ1019" s="98"/>
    </row>
    <row r="1020" spans="1:71" s="95" customFormat="1" x14ac:dyDescent="0.25">
      <c r="A1020" s="109"/>
      <c r="B1020" s="110"/>
      <c r="C1020" s="110"/>
      <c r="E1020" s="98"/>
      <c r="F1020" s="111"/>
      <c r="I1020" s="97"/>
      <c r="W1020" s="112"/>
      <c r="X1020" s="110"/>
      <c r="Y1020" s="110"/>
      <c r="AR1020" s="108"/>
      <c r="AS1020" s="108"/>
      <c r="AZ1020" s="98"/>
    </row>
    <row r="1021" spans="1:71" s="95" customFormat="1" x14ac:dyDescent="0.25">
      <c r="A1021" s="113"/>
      <c r="B1021" s="110"/>
      <c r="C1021" s="110"/>
      <c r="F1021" s="111"/>
      <c r="I1021" s="97"/>
      <c r="X1021" s="110"/>
      <c r="Y1021" s="110"/>
      <c r="AZ1021" s="98"/>
    </row>
    <row r="1022" spans="1:71" ht="15" customHeight="1" x14ac:dyDescent="0.25">
      <c r="A1022" s="113"/>
      <c r="B1022" s="110"/>
      <c r="C1022" s="110"/>
      <c r="D1022" s="95"/>
      <c r="E1022" s="95"/>
      <c r="F1022" s="95"/>
      <c r="H1022" s="95"/>
      <c r="M1022" s="95"/>
      <c r="N1022" s="95"/>
      <c r="O1022" s="95"/>
      <c r="Q1022" s="95"/>
      <c r="X1022" s="110"/>
      <c r="Y1022" s="110"/>
    </row>
    <row r="1023" spans="1:71" x14ac:dyDescent="0.25">
      <c r="A1023" s="113"/>
      <c r="B1023" s="110"/>
      <c r="C1023" s="110"/>
      <c r="D1023" s="95"/>
      <c r="E1023" s="95"/>
      <c r="F1023" s="95"/>
      <c r="H1023" s="115"/>
      <c r="M1023" s="95"/>
      <c r="N1023" s="95"/>
      <c r="O1023" s="95"/>
      <c r="Q1023" s="95"/>
      <c r="BB1023" s="96"/>
      <c r="BC1023" s="96"/>
      <c r="BF1023" s="96"/>
      <c r="BG1023" s="96"/>
      <c r="BJ1023" s="96"/>
      <c r="BK1023" s="96"/>
      <c r="BM1023" s="116"/>
      <c r="BN1023" s="96"/>
      <c r="BO1023" s="96"/>
      <c r="BP1023" s="96"/>
      <c r="BQ1023" s="96"/>
      <c r="BR1023" s="96"/>
      <c r="BS1023" s="96"/>
    </row>
    <row r="1024" spans="1:71" x14ac:dyDescent="0.25">
      <c r="H1024" s="104"/>
      <c r="M1024" s="95"/>
      <c r="N1024" s="95"/>
      <c r="O1024" s="95"/>
      <c r="Q1024" s="95"/>
      <c r="BB1024" s="96"/>
      <c r="BC1024" s="96"/>
      <c r="BF1024" s="96"/>
      <c r="BG1024" s="96"/>
      <c r="BJ1024" s="96"/>
      <c r="BK1024" s="96"/>
      <c r="BL1024" s="117"/>
      <c r="BM1024" s="117"/>
      <c r="BN1024" s="96"/>
      <c r="BO1024" s="96"/>
      <c r="BR1024" s="96"/>
      <c r="BS1024" s="96"/>
    </row>
    <row r="1025" spans="1:71" x14ac:dyDescent="0.25">
      <c r="H1025" s="104"/>
      <c r="M1025" s="95"/>
      <c r="N1025" s="95"/>
      <c r="O1025" s="95"/>
      <c r="Q1025" s="95"/>
      <c r="BB1025" s="96"/>
      <c r="BC1025" s="96"/>
      <c r="BF1025" s="96"/>
      <c r="BG1025" s="96"/>
      <c r="BJ1025" s="96"/>
      <c r="BK1025" s="96"/>
      <c r="BN1025" s="96"/>
      <c r="BO1025" s="96"/>
      <c r="BR1025" s="96"/>
      <c r="BS1025" s="96"/>
    </row>
    <row r="1026" spans="1:71" x14ac:dyDescent="0.25">
      <c r="G1026" s="118"/>
      <c r="H1026" s="104"/>
      <c r="M1026" s="95"/>
      <c r="N1026" s="95"/>
      <c r="O1026" s="95"/>
      <c r="Q1026" s="95"/>
      <c r="BB1026" s="96"/>
      <c r="BC1026" s="96"/>
      <c r="BF1026" s="96"/>
      <c r="BG1026" s="96"/>
      <c r="BJ1026" s="96"/>
      <c r="BK1026" s="96"/>
      <c r="BN1026" s="96"/>
      <c r="BO1026" s="96"/>
      <c r="BR1026" s="96"/>
      <c r="BS1026" s="96"/>
    </row>
    <row r="1027" spans="1:71" x14ac:dyDescent="0.25">
      <c r="G1027" s="118"/>
      <c r="H1027" s="104"/>
      <c r="M1027" s="95"/>
      <c r="N1027" s="95"/>
      <c r="O1027" s="95"/>
      <c r="Q1027" s="95"/>
      <c r="BB1027" s="96"/>
      <c r="BC1027" s="96"/>
      <c r="BF1027" s="96"/>
      <c r="BG1027" s="96"/>
      <c r="BJ1027" s="96"/>
      <c r="BK1027" s="96"/>
      <c r="BN1027" s="96"/>
      <c r="BO1027" s="96"/>
      <c r="BR1027" s="96"/>
      <c r="BS1027" s="96"/>
    </row>
    <row r="1028" spans="1:71" x14ac:dyDescent="0.25">
      <c r="G1028" s="118"/>
      <c r="H1028" s="104"/>
      <c r="M1028" s="95"/>
      <c r="N1028" s="95"/>
      <c r="O1028" s="95"/>
      <c r="Q1028" s="95"/>
      <c r="BB1028" s="96"/>
      <c r="BC1028" s="96"/>
      <c r="BF1028" s="96"/>
      <c r="BG1028" s="96"/>
      <c r="BJ1028" s="96"/>
      <c r="BK1028" s="96"/>
      <c r="BN1028" s="96"/>
      <c r="BO1028" s="96"/>
      <c r="BR1028" s="96"/>
      <c r="BS1028" s="96"/>
    </row>
    <row r="1029" spans="1:71" ht="15" customHeight="1" x14ac:dyDescent="0.25">
      <c r="H1029" s="104"/>
      <c r="M1029" s="95"/>
      <c r="N1029" s="95"/>
      <c r="O1029" s="95"/>
      <c r="Q1029" s="95"/>
      <c r="BB1029" s="96"/>
      <c r="BC1029" s="96"/>
      <c r="BF1029" s="96"/>
      <c r="BG1029" s="96"/>
      <c r="BJ1029" s="96"/>
      <c r="BK1029" s="96"/>
      <c r="BN1029" s="96"/>
      <c r="BO1029" s="96"/>
      <c r="BR1029" s="96"/>
      <c r="BS1029" s="96"/>
    </row>
    <row r="1030" spans="1:71" x14ac:dyDescent="0.25">
      <c r="H1030" s="104"/>
      <c r="M1030" s="95"/>
      <c r="N1030" s="95"/>
      <c r="O1030" s="95"/>
      <c r="Q1030" s="95"/>
      <c r="BB1030" s="96"/>
      <c r="BC1030" s="96"/>
      <c r="BF1030" s="96"/>
      <c r="BG1030" s="96"/>
      <c r="BJ1030" s="96"/>
      <c r="BK1030" s="96"/>
      <c r="BN1030" s="96"/>
      <c r="BO1030" s="96"/>
      <c r="BR1030" s="96"/>
      <c r="BS1030" s="96"/>
    </row>
    <row r="1031" spans="1:71" x14ac:dyDescent="0.25">
      <c r="H1031" s="104"/>
      <c r="M1031" s="95"/>
      <c r="N1031" s="95"/>
      <c r="O1031" s="95"/>
      <c r="Q1031" s="95"/>
      <c r="BB1031" s="96"/>
      <c r="BC1031" s="96"/>
      <c r="BF1031" s="96"/>
      <c r="BG1031" s="96"/>
      <c r="BJ1031" s="96"/>
      <c r="BK1031" s="96"/>
      <c r="BN1031" s="96"/>
      <c r="BO1031" s="96"/>
      <c r="BR1031" s="96"/>
      <c r="BS1031" s="96"/>
    </row>
    <row r="1032" spans="1:71" x14ac:dyDescent="0.25">
      <c r="D1032" s="119"/>
      <c r="H1032" s="104"/>
      <c r="M1032" s="95"/>
      <c r="N1032" s="95"/>
      <c r="O1032" s="95"/>
      <c r="Q1032" s="95"/>
    </row>
    <row r="1033" spans="1:71" x14ac:dyDescent="0.25">
      <c r="H1033" s="96"/>
    </row>
    <row r="1034" spans="1:71" x14ac:dyDescent="0.25">
      <c r="I1034" s="96"/>
      <c r="J1034" s="96"/>
    </row>
    <row r="1035" spans="1:71" ht="15" customHeight="1" x14ac:dyDescent="0.25">
      <c r="AI1035" s="95"/>
      <c r="AK1035" s="95"/>
    </row>
    <row r="1036" spans="1:71" ht="15" customHeight="1" x14ac:dyDescent="0.25">
      <c r="A1036" s="96"/>
    </row>
    <row r="1037" spans="1:71" ht="15" customHeight="1" x14ac:dyDescent="0.25">
      <c r="A1037" s="96"/>
      <c r="B1037" s="96"/>
      <c r="C1037" s="119"/>
    </row>
    <row r="1038" spans="1:71" ht="15" customHeight="1" x14ac:dyDescent="0.25">
      <c r="A1038" s="96"/>
      <c r="B1038" s="120"/>
    </row>
    <row r="1039" spans="1:71" x14ac:dyDescent="0.25">
      <c r="A1039" s="96"/>
      <c r="B1039" s="120"/>
    </row>
    <row r="1040" spans="1:71" x14ac:dyDescent="0.25">
      <c r="A1040" s="96"/>
      <c r="B1040" s="120"/>
    </row>
    <row r="1041" spans="1:2" x14ac:dyDescent="0.25">
      <c r="A1041" s="96"/>
      <c r="B1041" s="120"/>
    </row>
    <row r="1042" spans="1:2" x14ac:dyDescent="0.25">
      <c r="A1042" s="96"/>
      <c r="B1042" s="120"/>
    </row>
    <row r="1043" spans="1:2" x14ac:dyDescent="0.25">
      <c r="A1043" s="96"/>
      <c r="B1043" s="120"/>
    </row>
    <row r="1044" spans="1:2" x14ac:dyDescent="0.25">
      <c r="A1044" s="96"/>
    </row>
    <row r="1045" spans="1:2" x14ac:dyDescent="0.25">
      <c r="A1045" s="96"/>
    </row>
    <row r="1046" spans="1:2" x14ac:dyDescent="0.25">
      <c r="A1046" s="96"/>
    </row>
    <row r="1047" spans="1:2" x14ac:dyDescent="0.25">
      <c r="A1047" s="96"/>
    </row>
    <row r="1048" spans="1:2" x14ac:dyDescent="0.25">
      <c r="A1048" s="96"/>
    </row>
    <row r="1049" spans="1:2" x14ac:dyDescent="0.25">
      <c r="A1049" s="96"/>
    </row>
    <row r="1050" spans="1:2" x14ac:dyDescent="0.25">
      <c r="A1050" s="96"/>
    </row>
    <row r="1051" spans="1:2" x14ac:dyDescent="0.25">
      <c r="A1051" s="96"/>
    </row>
  </sheetData>
  <sheetProtection algorithmName="SHA-512" hashValue="Mhdmtmv5RNLIWgKUmM3uWc1NKWrMjVR7Q1uwSgwjsOrEVZnhg6nfbnqeGSyz9EAP80gbmsVoqguM9PN2cJqhmg==" saltValue="e+3RQkc5Dxx1wBHFbpEYkQ==" spinCount="100000" sheet="1" objects="1" scenarios="1" selectLockedCells="1"/>
  <mergeCells count="593">
    <mergeCell ref="G8:G9"/>
    <mergeCell ref="G10:G11"/>
    <mergeCell ref="G12:G13"/>
    <mergeCell ref="G14:G15"/>
    <mergeCell ref="G16:G17"/>
    <mergeCell ref="G18:G19"/>
    <mergeCell ref="G20:G21"/>
    <mergeCell ref="BX932:CC933"/>
    <mergeCell ref="BX934:CC935"/>
    <mergeCell ref="BO929:BP929"/>
    <mergeCell ref="AY920:AZ922"/>
    <mergeCell ref="AO919:AR919"/>
    <mergeCell ref="AK919:AN919"/>
    <mergeCell ref="BC914:BF918"/>
    <mergeCell ref="AU923:AV923"/>
    <mergeCell ref="AS923:AT923"/>
    <mergeCell ref="W920:X922"/>
    <mergeCell ref="AW925:AX925"/>
    <mergeCell ref="BK928:BN928"/>
    <mergeCell ref="BK914:BN918"/>
    <mergeCell ref="BK923:BL923"/>
    <mergeCell ref="BM920:BN922"/>
    <mergeCell ref="BK920:BL922"/>
    <mergeCell ref="BI920:BJ922"/>
    <mergeCell ref="BG920:BH922"/>
    <mergeCell ref="BC927:BF927"/>
    <mergeCell ref="BG945:BJ945"/>
    <mergeCell ref="BK945:BN945"/>
    <mergeCell ref="BE945:BF945"/>
    <mergeCell ref="BC945:BD945"/>
    <mergeCell ref="BK941:BN941"/>
    <mergeCell ref="BK943:BN943"/>
    <mergeCell ref="BG938:BJ938"/>
    <mergeCell ref="BG941:BJ941"/>
    <mergeCell ref="BG943:BJ943"/>
    <mergeCell ref="BE920:BF922"/>
    <mergeCell ref="BC920:BD922"/>
    <mergeCell ref="BG923:BH923"/>
    <mergeCell ref="BI923:BJ923"/>
    <mergeCell ref="BM923:BN923"/>
    <mergeCell ref="BC941:BF941"/>
    <mergeCell ref="BM942:BN942"/>
    <mergeCell ref="BG944:BH944"/>
    <mergeCell ref="BI944:BJ944"/>
    <mergeCell ref="BK944:BL944"/>
    <mergeCell ref="BM944:BN944"/>
    <mergeCell ref="BG942:BH942"/>
    <mergeCell ref="BI942:BJ942"/>
    <mergeCell ref="BC925:BD925"/>
    <mergeCell ref="BE925:BF925"/>
    <mergeCell ref="BO933:BP933"/>
    <mergeCell ref="BO934:BP934"/>
    <mergeCell ref="BO935:BP935"/>
    <mergeCell ref="BM939:BN939"/>
    <mergeCell ref="BG939:BH939"/>
    <mergeCell ref="BC930:BD930"/>
    <mergeCell ref="BG933:BJ933"/>
    <mergeCell ref="BC938:BF938"/>
    <mergeCell ref="BC928:BF928"/>
    <mergeCell ref="BG927:BJ927"/>
    <mergeCell ref="BG928:BJ928"/>
    <mergeCell ref="BG925:BH925"/>
    <mergeCell ref="BI925:BJ925"/>
    <mergeCell ref="BG926:BH926"/>
    <mergeCell ref="BI926:BJ926"/>
    <mergeCell ref="AS945:AV945"/>
    <mergeCell ref="BI939:BJ939"/>
    <mergeCell ref="BK939:BL939"/>
    <mergeCell ref="BO937:BP937"/>
    <mergeCell ref="BO938:BP938"/>
    <mergeCell ref="BO939:BP939"/>
    <mergeCell ref="BO940:BP940"/>
    <mergeCell ref="BO941:BP941"/>
    <mergeCell ref="BO942:BP942"/>
    <mergeCell ref="BO943:BP943"/>
    <mergeCell ref="C993:G993"/>
    <mergeCell ref="L983:O983"/>
    <mergeCell ref="P983:Q983"/>
    <mergeCell ref="C990:G990"/>
    <mergeCell ref="C991:G991"/>
    <mergeCell ref="C992:G992"/>
    <mergeCell ref="Y941:AF941"/>
    <mergeCell ref="Y938:AF938"/>
    <mergeCell ref="Y936:AF936"/>
    <mergeCell ref="U938:X938"/>
    <mergeCell ref="U941:X941"/>
    <mergeCell ref="Z961:AA961"/>
    <mergeCell ref="AD961:AJ961"/>
    <mergeCell ref="Z955:AA955"/>
    <mergeCell ref="AB955:AC955"/>
    <mergeCell ref="AB956:AC956"/>
    <mergeCell ref="AB957:AC957"/>
    <mergeCell ref="AG948:AJ948"/>
    <mergeCell ref="F961:F962"/>
    <mergeCell ref="Z962:AA962"/>
    <mergeCell ref="AD962:AJ962"/>
    <mergeCell ref="G962:I962"/>
    <mergeCell ref="G960:I960"/>
    <mergeCell ref="A956:D956"/>
    <mergeCell ref="A928:F928"/>
    <mergeCell ref="A929:F929"/>
    <mergeCell ref="AC923:AD923"/>
    <mergeCell ref="AA923:AB923"/>
    <mergeCell ref="Y923:Z923"/>
    <mergeCell ref="C976:F976"/>
    <mergeCell ref="C981:G981"/>
    <mergeCell ref="Z956:AA956"/>
    <mergeCell ref="A5:N6"/>
    <mergeCell ref="A10:C10"/>
    <mergeCell ref="U914:X918"/>
    <mergeCell ref="Y914:AF918"/>
    <mergeCell ref="Y919:AB919"/>
    <mergeCell ref="AC919:AF919"/>
    <mergeCell ref="U940:X940"/>
    <mergeCell ref="AE923:AF923"/>
    <mergeCell ref="G961:I961"/>
    <mergeCell ref="A935:F935"/>
    <mergeCell ref="A926:F926"/>
    <mergeCell ref="A927:F927"/>
    <mergeCell ref="I914:I923"/>
    <mergeCell ref="A945:F945"/>
    <mergeCell ref="U945:X945"/>
    <mergeCell ref="AD960:AJ960"/>
    <mergeCell ref="G957:I957"/>
    <mergeCell ref="G958:I958"/>
    <mergeCell ref="BA914:BB922"/>
    <mergeCell ref="J972:J976"/>
    <mergeCell ref="AW945:AZ945"/>
    <mergeCell ref="BA925:BB925"/>
    <mergeCell ref="AY925:AZ925"/>
    <mergeCell ref="BA926:BB926"/>
    <mergeCell ref="BA927:BB927"/>
    <mergeCell ref="BA928:BB928"/>
    <mergeCell ref="U932:X932"/>
    <mergeCell ref="U933:X933"/>
    <mergeCell ref="U934:X934"/>
    <mergeCell ref="U935:X935"/>
    <mergeCell ref="U936:X936"/>
    <mergeCell ref="AC933:AF933"/>
    <mergeCell ref="AG934:AJ934"/>
    <mergeCell ref="AS948:AV948"/>
    <mergeCell ref="Z963:AA963"/>
    <mergeCell ref="AD963:AJ963"/>
    <mergeCell ref="AB958:AC958"/>
    <mergeCell ref="AB959:AC959"/>
    <mergeCell ref="BA948:BF948"/>
    <mergeCell ref="BA949:BF949"/>
    <mergeCell ref="BU931:BV931"/>
    <mergeCell ref="BU932:BV933"/>
    <mergeCell ref="J914:J923"/>
    <mergeCell ref="BG929:BH929"/>
    <mergeCell ref="BI929:BJ929"/>
    <mergeCell ref="L957:P957"/>
    <mergeCell ref="R957:S957"/>
    <mergeCell ref="O975:Q975"/>
    <mergeCell ref="R975:S975"/>
    <mergeCell ref="AB960:AC960"/>
    <mergeCell ref="AB961:AC961"/>
    <mergeCell ref="AB962:AC962"/>
    <mergeCell ref="AB963:AC963"/>
    <mergeCell ref="AD956:AJ956"/>
    <mergeCell ref="Z957:AA957"/>
    <mergeCell ref="AD957:AJ957"/>
    <mergeCell ref="Z958:AA958"/>
    <mergeCell ref="AD958:AJ958"/>
    <mergeCell ref="Z959:AA959"/>
    <mergeCell ref="AD959:AJ959"/>
    <mergeCell ref="Z960:AA960"/>
    <mergeCell ref="AS949:AV949"/>
    <mergeCell ref="AW948:AZ948"/>
    <mergeCell ref="AW949:AZ949"/>
    <mergeCell ref="BO914:BP922"/>
    <mergeCell ref="BO923:BP923"/>
    <mergeCell ref="BO926:BP926"/>
    <mergeCell ref="BO927:BP927"/>
    <mergeCell ref="BO928:BP928"/>
    <mergeCell ref="BU939:BV939"/>
    <mergeCell ref="BO936:BP936"/>
    <mergeCell ref="BO930:BP930"/>
    <mergeCell ref="BO931:BP931"/>
    <mergeCell ref="BO932:BP932"/>
    <mergeCell ref="BT934:BT935"/>
    <mergeCell ref="BU934:BV935"/>
    <mergeCell ref="BU936:BV936"/>
    <mergeCell ref="BU937:BV937"/>
    <mergeCell ref="BU938:BV938"/>
    <mergeCell ref="BU921:BV921"/>
    <mergeCell ref="BU922:BV922"/>
    <mergeCell ref="BU923:BV923"/>
    <mergeCell ref="BU924:BV924"/>
    <mergeCell ref="BU927:BV927"/>
    <mergeCell ref="BT932:BT933"/>
    <mergeCell ref="BU928:BV928"/>
    <mergeCell ref="BU929:BV929"/>
    <mergeCell ref="BU930:BV930"/>
    <mergeCell ref="BG914:BJ918"/>
    <mergeCell ref="AW920:AX922"/>
    <mergeCell ref="AU920:AV922"/>
    <mergeCell ref="AS920:AT922"/>
    <mergeCell ref="BU940:BV940"/>
    <mergeCell ref="AS935:AV935"/>
    <mergeCell ref="AS936:AV936"/>
    <mergeCell ref="AS937:AV937"/>
    <mergeCell ref="BK927:BN927"/>
    <mergeCell ref="BM926:BN926"/>
    <mergeCell ref="BK926:BL926"/>
    <mergeCell ref="AW926:AX926"/>
    <mergeCell ref="BA938:BB938"/>
    <mergeCell ref="BA939:BB939"/>
    <mergeCell ref="AW937:AZ937"/>
    <mergeCell ref="BC932:BF932"/>
    <mergeCell ref="BC933:BF933"/>
    <mergeCell ref="BA932:BB932"/>
    <mergeCell ref="BA933:BB933"/>
    <mergeCell ref="AW932:AZ932"/>
    <mergeCell ref="BM929:BN929"/>
    <mergeCell ref="BK929:BL929"/>
    <mergeCell ref="BK938:BN938"/>
    <mergeCell ref="BC929:BF929"/>
    <mergeCell ref="BC931:BF931"/>
    <mergeCell ref="BE930:BF930"/>
    <mergeCell ref="BK935:BN935"/>
    <mergeCell ref="BC934:BF934"/>
    <mergeCell ref="BC935:BF935"/>
    <mergeCell ref="BA934:BB934"/>
    <mergeCell ref="BC937:BF937"/>
    <mergeCell ref="BA937:BB937"/>
    <mergeCell ref="BK933:BN933"/>
    <mergeCell ref="BK932:BN932"/>
    <mergeCell ref="BG930:BJ930"/>
    <mergeCell ref="BK930:BN930"/>
    <mergeCell ref="BG932:BJ932"/>
    <mergeCell ref="AG914:AJ918"/>
    <mergeCell ref="AK914:AR918"/>
    <mergeCell ref="AS914:AV918"/>
    <mergeCell ref="AW914:AZ918"/>
    <mergeCell ref="BU917:BV917"/>
    <mergeCell ref="BU918:BV918"/>
    <mergeCell ref="BU919:BV919"/>
    <mergeCell ref="BU920:BV920"/>
    <mergeCell ref="BK931:BN931"/>
    <mergeCell ref="AW923:AX923"/>
    <mergeCell ref="AY923:AZ923"/>
    <mergeCell ref="BA923:BB923"/>
    <mergeCell ref="BE923:BF923"/>
    <mergeCell ref="BC923:BD923"/>
    <mergeCell ref="AK930:AR930"/>
    <mergeCell ref="AK931:AR931"/>
    <mergeCell ref="BG931:BJ931"/>
    <mergeCell ref="AY926:AZ926"/>
    <mergeCell ref="AW927:AZ927"/>
    <mergeCell ref="AW930:AZ930"/>
    <mergeCell ref="AW931:AZ931"/>
    <mergeCell ref="AW928:AZ928"/>
    <mergeCell ref="AW929:AX929"/>
    <mergeCell ref="AY929:AZ929"/>
    <mergeCell ref="AS926:AT926"/>
    <mergeCell ref="AU926:AV926"/>
    <mergeCell ref="BU942:BV942"/>
    <mergeCell ref="BU943:BV943"/>
    <mergeCell ref="BC942:BF942"/>
    <mergeCell ref="BA942:BB942"/>
    <mergeCell ref="AW940:AZ940"/>
    <mergeCell ref="BG940:BJ940"/>
    <mergeCell ref="AW943:AZ943"/>
    <mergeCell ref="AW934:AZ934"/>
    <mergeCell ref="AW935:AZ935"/>
    <mergeCell ref="BK937:BN937"/>
    <mergeCell ref="AS940:AV940"/>
    <mergeCell ref="BG934:BJ934"/>
    <mergeCell ref="BG935:BJ935"/>
    <mergeCell ref="BU941:BV941"/>
    <mergeCell ref="BK934:BN934"/>
    <mergeCell ref="BK940:BN940"/>
    <mergeCell ref="BK936:BN936"/>
    <mergeCell ref="BG936:BJ936"/>
    <mergeCell ref="BG937:BJ937"/>
    <mergeCell ref="BC940:BF940"/>
    <mergeCell ref="BA930:BB930"/>
    <mergeCell ref="BA931:BB931"/>
    <mergeCell ref="AK936:AR936"/>
    <mergeCell ref="AK937:AR937"/>
    <mergeCell ref="U937:X937"/>
    <mergeCell ref="AG937:AJ937"/>
    <mergeCell ref="A948:C948"/>
    <mergeCell ref="AE942:AF942"/>
    <mergeCell ref="Y944:Z944"/>
    <mergeCell ref="AA944:AB944"/>
    <mergeCell ref="AC944:AD944"/>
    <mergeCell ref="AE944:AF944"/>
    <mergeCell ref="AG939:AH939"/>
    <mergeCell ref="AI939:AJ939"/>
    <mergeCell ref="AG942:AH942"/>
    <mergeCell ref="AI942:AJ942"/>
    <mergeCell ref="AG944:AH944"/>
    <mergeCell ref="AI944:AJ944"/>
    <mergeCell ref="W939:X939"/>
    <mergeCell ref="U939:V939"/>
    <mergeCell ref="U943:X943"/>
    <mergeCell ref="AK940:AR940"/>
    <mergeCell ref="AG938:AJ938"/>
    <mergeCell ref="AG941:AJ941"/>
    <mergeCell ref="AG943:AJ943"/>
    <mergeCell ref="AK938:AR938"/>
    <mergeCell ref="A937:F937"/>
    <mergeCell ref="U949:X949"/>
    <mergeCell ref="U950:X950"/>
    <mergeCell ref="B949:C949"/>
    <mergeCell ref="B950:C950"/>
    <mergeCell ref="U947:X947"/>
    <mergeCell ref="Y947:AF947"/>
    <mergeCell ref="U948:X948"/>
    <mergeCell ref="Y948:AF948"/>
    <mergeCell ref="Y949:AF949"/>
    <mergeCell ref="Y945:AF945"/>
    <mergeCell ref="AK932:AR932"/>
    <mergeCell ref="AC929:AD929"/>
    <mergeCell ref="AE929:AF929"/>
    <mergeCell ref="Y932:AF932"/>
    <mergeCell ref="Y935:AF935"/>
    <mergeCell ref="AC930:AF930"/>
    <mergeCell ref="AC931:AF931"/>
    <mergeCell ref="AA931:AB931"/>
    <mergeCell ref="AA933:AB933"/>
    <mergeCell ref="Y933:Z933"/>
    <mergeCell ref="Y931:Z931"/>
    <mergeCell ref="AA929:AB929"/>
    <mergeCell ref="AA930:AB930"/>
    <mergeCell ref="Y930:Z930"/>
    <mergeCell ref="Y929:Z929"/>
    <mergeCell ref="AK935:AR935"/>
    <mergeCell ref="AC934:AF934"/>
    <mergeCell ref="AA934:AB934"/>
    <mergeCell ref="Y934:Z934"/>
    <mergeCell ref="Y920:Z922"/>
    <mergeCell ref="AA920:AB922"/>
    <mergeCell ref="AC920:AD922"/>
    <mergeCell ref="AE920:AF922"/>
    <mergeCell ref="W926:X926"/>
    <mergeCell ref="W927:X927"/>
    <mergeCell ref="W928:X928"/>
    <mergeCell ref="W930:X930"/>
    <mergeCell ref="AM929:AN929"/>
    <mergeCell ref="AK929:AL929"/>
    <mergeCell ref="AK927:AR927"/>
    <mergeCell ref="AG927:AJ927"/>
    <mergeCell ref="AG928:AJ928"/>
    <mergeCell ref="AE926:AF926"/>
    <mergeCell ref="AC926:AD926"/>
    <mergeCell ref="AI923:AJ923"/>
    <mergeCell ref="AG923:AH923"/>
    <mergeCell ref="AQ923:AR923"/>
    <mergeCell ref="AO923:AP923"/>
    <mergeCell ref="AM923:AN923"/>
    <mergeCell ref="AK923:AL923"/>
    <mergeCell ref="AI920:AJ922"/>
    <mergeCell ref="AG920:AH922"/>
    <mergeCell ref="AQ920:AR922"/>
    <mergeCell ref="AO920:AP922"/>
    <mergeCell ref="AM920:AN922"/>
    <mergeCell ref="AK920:AL922"/>
    <mergeCell ref="AS933:AV933"/>
    <mergeCell ref="AK942:AL942"/>
    <mergeCell ref="C998:G998"/>
    <mergeCell ref="C997:G997"/>
    <mergeCell ref="C977:G977"/>
    <mergeCell ref="H972:H976"/>
    <mergeCell ref="I972:I976"/>
    <mergeCell ref="C978:G978"/>
    <mergeCell ref="C979:G979"/>
    <mergeCell ref="C980:G980"/>
    <mergeCell ref="C982:G982"/>
    <mergeCell ref="C983:G983"/>
    <mergeCell ref="C984:G984"/>
    <mergeCell ref="C985:G985"/>
    <mergeCell ref="C986:G986"/>
    <mergeCell ref="C987:G987"/>
    <mergeCell ref="C988:G988"/>
    <mergeCell ref="C989:G989"/>
    <mergeCell ref="C996:G996"/>
    <mergeCell ref="C994:G994"/>
    <mergeCell ref="C995:G995"/>
    <mergeCell ref="AG940:AJ940"/>
    <mergeCell ref="Y939:Z939"/>
    <mergeCell ref="A936:F936"/>
    <mergeCell ref="AM925:AN925"/>
    <mergeCell ref="AO925:AP925"/>
    <mergeCell ref="F957:F958"/>
    <mergeCell ref="AW936:AZ936"/>
    <mergeCell ref="AQ929:AR929"/>
    <mergeCell ref="AO929:AP929"/>
    <mergeCell ref="F956:I956"/>
    <mergeCell ref="F959:F960"/>
    <mergeCell ref="G959:I959"/>
    <mergeCell ref="AC942:AD942"/>
    <mergeCell ref="AS934:AV934"/>
    <mergeCell ref="Y942:Z942"/>
    <mergeCell ref="AA942:AB942"/>
    <mergeCell ref="U942:V942"/>
    <mergeCell ref="W942:X942"/>
    <mergeCell ref="AG936:AJ936"/>
    <mergeCell ref="AG935:AJ935"/>
    <mergeCell ref="AG930:AJ930"/>
    <mergeCell ref="AG931:AJ931"/>
    <mergeCell ref="AG932:AJ932"/>
    <mergeCell ref="Y950:AF950"/>
    <mergeCell ref="AG933:AJ933"/>
    <mergeCell ref="AS931:AV931"/>
    <mergeCell ref="AS932:AV932"/>
    <mergeCell ref="A924:F924"/>
    <mergeCell ref="G924:H924"/>
    <mergeCell ref="G914:H923"/>
    <mergeCell ref="A922:F923"/>
    <mergeCell ref="A938:F938"/>
    <mergeCell ref="A939:F939"/>
    <mergeCell ref="H952:I952"/>
    <mergeCell ref="E949:G949"/>
    <mergeCell ref="E950:G950"/>
    <mergeCell ref="E947:I947"/>
    <mergeCell ref="E951:G951"/>
    <mergeCell ref="B951:C951"/>
    <mergeCell ref="B952:C952"/>
    <mergeCell ref="A940:F940"/>
    <mergeCell ref="A941:F941"/>
    <mergeCell ref="A942:F942"/>
    <mergeCell ref="A932:F932"/>
    <mergeCell ref="A933:F933"/>
    <mergeCell ref="A934:F934"/>
    <mergeCell ref="A930:F930"/>
    <mergeCell ref="A931:F931"/>
    <mergeCell ref="A944:F944"/>
    <mergeCell ref="A943:F943"/>
    <mergeCell ref="A925:F925"/>
    <mergeCell ref="U931:X931"/>
    <mergeCell ref="BK925:BL925"/>
    <mergeCell ref="BM925:BN925"/>
    <mergeCell ref="AI926:AJ926"/>
    <mergeCell ref="AG926:AH926"/>
    <mergeCell ref="BC936:BF936"/>
    <mergeCell ref="BA936:BB936"/>
    <mergeCell ref="AK933:AR933"/>
    <mergeCell ref="AK934:AR934"/>
    <mergeCell ref="AK928:AR928"/>
    <mergeCell ref="AS927:AV927"/>
    <mergeCell ref="AS928:AV928"/>
    <mergeCell ref="AS929:AT929"/>
    <mergeCell ref="AU929:AV929"/>
    <mergeCell ref="AS930:AV930"/>
    <mergeCell ref="BA935:BB935"/>
    <mergeCell ref="AW933:AZ933"/>
    <mergeCell ref="AG929:AH929"/>
    <mergeCell ref="AI929:AJ929"/>
    <mergeCell ref="BA929:BB929"/>
    <mergeCell ref="BC926:BF926"/>
    <mergeCell ref="AQ925:AR925"/>
    <mergeCell ref="AS925:AT925"/>
    <mergeCell ref="AU925:AV925"/>
    <mergeCell ref="T914:T923"/>
    <mergeCell ref="U930:V930"/>
    <mergeCell ref="U928:V928"/>
    <mergeCell ref="U927:V927"/>
    <mergeCell ref="U926:V926"/>
    <mergeCell ref="AI925:AJ925"/>
    <mergeCell ref="AK925:AL925"/>
    <mergeCell ref="Y927:Z927"/>
    <mergeCell ref="AA927:AB927"/>
    <mergeCell ref="AA928:AB928"/>
    <mergeCell ref="Y928:Z928"/>
    <mergeCell ref="AC927:AF927"/>
    <mergeCell ref="AC928:AF928"/>
    <mergeCell ref="U929:X929"/>
    <mergeCell ref="AE925:AF925"/>
    <mergeCell ref="AG925:AH925"/>
    <mergeCell ref="W925:X925"/>
    <mergeCell ref="U925:V925"/>
    <mergeCell ref="Y925:Z925"/>
    <mergeCell ref="AA925:AB925"/>
    <mergeCell ref="AC925:AD925"/>
    <mergeCell ref="U920:V922"/>
    <mergeCell ref="W923:X923"/>
    <mergeCell ref="U923:V923"/>
    <mergeCell ref="AE939:AF939"/>
    <mergeCell ref="AC939:AD939"/>
    <mergeCell ref="AA939:AB939"/>
    <mergeCell ref="DK940:DM940"/>
    <mergeCell ref="DK941:DM941"/>
    <mergeCell ref="DK942:DM942"/>
    <mergeCell ref="DK943:DM943"/>
    <mergeCell ref="DK944:DM944"/>
    <mergeCell ref="DK939:DM939"/>
    <mergeCell ref="BA940:BB940"/>
    <mergeCell ref="BA941:BB941"/>
    <mergeCell ref="BA943:BB943"/>
    <mergeCell ref="AK941:AR941"/>
    <mergeCell ref="AK943:AR943"/>
    <mergeCell ref="AW941:AZ941"/>
    <mergeCell ref="AS941:AV941"/>
    <mergeCell ref="AS943:AV943"/>
    <mergeCell ref="H948:I948"/>
    <mergeCell ref="H949:I949"/>
    <mergeCell ref="H950:I950"/>
    <mergeCell ref="H951:I951"/>
    <mergeCell ref="U944:X944"/>
    <mergeCell ref="BO944:BP944"/>
    <mergeCell ref="BU945:BV945"/>
    <mergeCell ref="BU946:BV946"/>
    <mergeCell ref="BU947:BV947"/>
    <mergeCell ref="BU944:BV944"/>
    <mergeCell ref="BG948:BJ948"/>
    <mergeCell ref="BG949:BJ949"/>
    <mergeCell ref="BK948:BN948"/>
    <mergeCell ref="BK949:BN949"/>
    <mergeCell ref="BU948:BV948"/>
    <mergeCell ref="AK948:AR948"/>
    <mergeCell ref="AK949:AR949"/>
    <mergeCell ref="AG949:AJ949"/>
    <mergeCell ref="Y951:AF951"/>
    <mergeCell ref="BO948:BP949"/>
    <mergeCell ref="BA945:BB945"/>
    <mergeCell ref="BO945:BP945"/>
    <mergeCell ref="AG945:AJ945"/>
    <mergeCell ref="AK945:AR945"/>
    <mergeCell ref="AK944:AL944"/>
    <mergeCell ref="AM944:AN944"/>
    <mergeCell ref="AO944:AP944"/>
    <mergeCell ref="AQ944:AR944"/>
    <mergeCell ref="DP938:DQ938"/>
    <mergeCell ref="DR938:DS938"/>
    <mergeCell ref="DT938:DU938"/>
    <mergeCell ref="DV938:DW938"/>
    <mergeCell ref="DX938:DY938"/>
    <mergeCell ref="DK938:DM938"/>
    <mergeCell ref="DN938:DO938"/>
    <mergeCell ref="AS938:AV938"/>
    <mergeCell ref="AW938:AZ938"/>
    <mergeCell ref="BA944:BB944"/>
    <mergeCell ref="BC944:BF944"/>
    <mergeCell ref="BC943:BF943"/>
    <mergeCell ref="AS944:AT944"/>
    <mergeCell ref="AU944:AV944"/>
    <mergeCell ref="AW944:AX944"/>
    <mergeCell ref="AY944:AZ944"/>
    <mergeCell ref="A24:B24"/>
    <mergeCell ref="D8:F9"/>
    <mergeCell ref="A8:C9"/>
    <mergeCell ref="H10:K10"/>
    <mergeCell ref="H9:K9"/>
    <mergeCell ref="AA926:AB926"/>
    <mergeCell ref="Y926:Z926"/>
    <mergeCell ref="AQ926:AR926"/>
    <mergeCell ref="AK926:AL926"/>
    <mergeCell ref="AM926:AN926"/>
    <mergeCell ref="AO926:AP926"/>
    <mergeCell ref="A25:N25"/>
    <mergeCell ref="A26:N26"/>
    <mergeCell ref="D12:F13"/>
    <mergeCell ref="H13:K13"/>
    <mergeCell ref="H14:K14"/>
    <mergeCell ref="D10:F11"/>
    <mergeCell ref="BK942:BL942"/>
    <mergeCell ref="AK939:AL939"/>
    <mergeCell ref="AM939:AN939"/>
    <mergeCell ref="AO939:AP939"/>
    <mergeCell ref="AQ939:AR939"/>
    <mergeCell ref="AS939:AT939"/>
    <mergeCell ref="AU939:AV939"/>
    <mergeCell ref="AW939:AX939"/>
    <mergeCell ref="AY939:AZ939"/>
    <mergeCell ref="BC939:BF939"/>
    <mergeCell ref="AM942:AN942"/>
    <mergeCell ref="AO942:AP942"/>
    <mergeCell ref="AQ942:AR942"/>
    <mergeCell ref="AS942:AT942"/>
    <mergeCell ref="AU942:AV942"/>
    <mergeCell ref="AW942:AX942"/>
    <mergeCell ref="AY942:AZ942"/>
    <mergeCell ref="H17:K17"/>
    <mergeCell ref="H18:K18"/>
    <mergeCell ref="D14:F15"/>
    <mergeCell ref="H19:K19"/>
    <mergeCell ref="D16:F17"/>
    <mergeCell ref="D18:F19"/>
    <mergeCell ref="D20:F21"/>
    <mergeCell ref="A11:C11"/>
    <mergeCell ref="A27:N27"/>
    <mergeCell ref="A12:C12"/>
    <mergeCell ref="A13:C13"/>
    <mergeCell ref="A14:C15"/>
    <mergeCell ref="A20:C21"/>
    <mergeCell ref="A18:C18"/>
    <mergeCell ref="A19:C19"/>
    <mergeCell ref="A16:C16"/>
    <mergeCell ref="A17:C17"/>
  </mergeCells>
  <phoneticPr fontId="5" type="noConversion"/>
  <dataValidations count="12">
    <dataValidation type="list" allowBlank="1" showInputMessage="1" showErrorMessage="1" sqref="D8" xr:uid="{5913C832-C12F-4BAE-BD06-7AB4AAD64D0C}">
      <formula1>$A$926:$A$945</formula1>
    </dataValidation>
    <dataValidation type="list" allowBlank="1" showInputMessage="1" showErrorMessage="1" sqref="D12" xr:uid="{660698B7-7C07-42A0-BD93-F7FC695DB717}">
      <formula1>IF(OR($G$924=8,$G$924=11,$G$924=18,$G$924=20),$B$964:$B$966,$B$964:$B$965)</formula1>
    </dataValidation>
    <dataValidation type="list" allowBlank="1" showInputMessage="1" showErrorMessage="1" sqref="D14" xr:uid="{BC7670EE-E6FB-4B78-AC76-B3BB24CAE335}">
      <formula1>$B$957:$B$959</formula1>
    </dataValidation>
    <dataValidation type="list" allowBlank="1" showInputMessage="1" showErrorMessage="1" sqref="D16" xr:uid="{D2E4FBF1-A0CB-4987-A963-C5567BF7D697}">
      <formula1>$B$960:$B$961</formula1>
    </dataValidation>
    <dataValidation type="list" allowBlank="1" showInputMessage="1" showErrorMessage="1" sqref="D18" xr:uid="{8D4102D8-935B-458A-A599-470B2A09F167}">
      <formula1>$B$968:$B$969</formula1>
    </dataValidation>
    <dataValidation type="list" allowBlank="1" showInputMessage="1" showErrorMessage="1" sqref="AL27:AL345" xr:uid="{D32CE669-D77C-42EA-87EA-385E28FC7AFE}">
      <formula1>IF($D$14=$B$957,A957:A973,IF($D$14=$B$958,A957:A973,IF($D$14=$B$959,A958:A973)))</formula1>
    </dataValidation>
    <dataValidation type="list" allowBlank="1" showInputMessage="1" showErrorMessage="1" sqref="AL346:AL517" xr:uid="{CCE1CBE2-4330-441E-93B5-8E99E822282E}">
      <formula1>IF($D$14=$B$957,A958:A974,IF($D$14=$B$958,A958:A974,IF($D$14=$B$959,A959:A974)))</formula1>
    </dataValidation>
    <dataValidation type="list" allowBlank="1" showInputMessage="1" showErrorMessage="1" sqref="AL518:AL691" xr:uid="{273F104F-CD98-4918-9C67-E7E8CFCB8113}">
      <formula1>IF($D$14=$B$957,A958:A974,IF($D$14=$B$958,A958:A974,IF($D$14=$B$959,A959:A974)))</formula1>
    </dataValidation>
    <dataValidation type="list" allowBlank="1" showInputMessage="1" showErrorMessage="1" sqref="AL692:AL780" xr:uid="{D83D4407-48BE-46A4-8BCF-E7B9886BAB37}">
      <formula1>IF($D$14=$B$957,A963:A979,IF($D$14=$B$958,A963:A979,IF($D$14=$B$959,A964:A979)))</formula1>
    </dataValidation>
    <dataValidation type="list" allowBlank="1" showInputMessage="1" showErrorMessage="1" sqref="AL781:AL875" xr:uid="{3F5316B8-6C06-4CE7-BD84-2353E8FFA839}">
      <formula1>IF($D$14=$B$957,A958:A974,IF($D$14=$B$958,A958:A974,IF($D$14=$B$959,A959:A974)))</formula1>
    </dataValidation>
    <dataValidation type="list" allowBlank="1" showInputMessage="1" showErrorMessage="1" sqref="AL876:AL905" xr:uid="{474813C0-502B-4D3C-8AA9-E7C0B7AD9B95}">
      <formula1>IF($D$14=$B$957,A988:A1004,IF($D$14=$B$958,A988:A1004,IF($D$14=$B$959,A989:A1004)))</formula1>
    </dataValidation>
    <dataValidation type="list" allowBlank="1" showInputMessage="1" showErrorMessage="1" sqref="AL906:AL912" xr:uid="{58B5E5F7-A850-4867-8D68-517AF47C5D0B}">
      <formula1>IF($D$14=$B$957,A1014:A1030,IF($D$14=$B$958,A1014:A1030,IF($D$14=$B$959,A1015:A1030)))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colBreaks count="1" manualBreakCount="1">
    <brk id="3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V s U f y t c Y + k A A A A 9 Q A A A B I A H A B D b 2 5 m a W c v U G F j a 2 F n Z S 5 4 b W w g o h g A K K A U A A A A A A A A A A A A A A A A A A A A A A A A A A A A h Y 8 x D o I w G I W v Q r r T 1 h q V k J 8 y u I I x M T G u T a n Q C M X Q Y r m b g 0 f y C m I U d X N 8 3 / u G 9 + 7 X G 6 R D U w c X 1 V n d m g T N M E W B M r I t t C k T 1 L t j G K G U w 1 b I k y h V M M r G x o M t E l Q 5 d 4 4 J 8 d 5 j P 8 d t V x J G 6 Y w c 8 m w n K 9 U I 9 J H 1 f z n U x j p h p E I c 9 q 8 x n O F o i V d s g S m Q i U G u z b d n 4 9 x n + w N h 3 d e u 7 x Q 3 d b j J g E w R y P s C f w B Q S w M E F A A C A A g A m U V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F b F E o i k e 4 D g A A A B E A A A A T A B w A R m 9 y b X V s Y X M v U 2 V j d G l v b j E u b S C i G A A o o B Q A A A A A A A A A A A A A A A A A A A A A A A A A A A A r T k 0 u y c z P U w i G 0 I b W A F B L A Q I t A B Q A A g A I A J l F b F H 8 r X G P p A A A A P U A A A A S A A A A A A A A A A A A A A A A A A A A A A B D b 2 5 m a W c v U G F j a 2 F n Z S 5 4 b W x Q S w E C L Q A U A A I A C A C Z R W x R D 8 r p q 6 Q A A A D p A A A A E w A A A A A A A A A A A A A A A A D w A A A A W 0 N v b n R l b n R f V H l w Z X N d L n h t b F B L A Q I t A B Q A A g A I A J l F b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W Y w t 7 G b h 6 R J J T 8 W M i O f C M A A A A A A I A A A A A A A N m A A D A A A A A E A A A A E G D j A a M 0 G m J I B l R g u 0 k 7 a 8 A A A A A B I A A A K A A A A A Q A A A A Y Q C 4 p Y H y e 3 P c y J 7 4 0 L z 0 v l A A A A D n 0 b D v G H B f y P b p k B j d F s U x L b O k E T T J e h n c B N l 0 V 2 Q f h R V k r O f B L X e W n i t G S Y v t U V L u 0 m r u X N 1 8 0 0 a y X T N 9 N q c e F + T E + 8 4 S z b / K h M r j N d c I Q R Q A A A B 4 4 j t u p w 3 z Z 7 a k 3 P + g 8 M 3 K Q 6 9 p V Q = = < / D a t a M a s h u p > 
</file>

<file path=customXml/itemProps1.xml><?xml version="1.0" encoding="utf-8"?>
<ds:datastoreItem xmlns:ds="http://schemas.openxmlformats.org/officeDocument/2006/customXml" ds:itemID="{06C040CA-C53A-47DB-BCDF-FB5C639D2C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Forest FES-rekenschema</vt:lpstr>
      <vt:lpstr>'Forest FES-rekenschema'!Afdrukbereik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Mulderij – Forestgroup</dc:creator>
  <cp:lastModifiedBy>Wouter Mulderij – Forestgroup</cp:lastModifiedBy>
  <cp:lastPrinted>2025-04-28T12:51:27Z</cp:lastPrinted>
  <dcterms:created xsi:type="dcterms:W3CDTF">2020-11-12T07:07:18Z</dcterms:created>
  <dcterms:modified xsi:type="dcterms:W3CDTF">2025-04-28T12:51:47Z</dcterms:modified>
</cp:coreProperties>
</file>